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rshroongta.sharepoint.com/sites/FeeonlyiaDataShare/Shared_Documents/Planner's Temporary Files/Keval/"/>
    </mc:Choice>
  </mc:AlternateContent>
  <xr:revisionPtr revIDLastSave="21" documentId="8_{00C1DB19-3AF2-4A62-A099-94C66E939962}" xr6:coauthVersionLast="47" xr6:coauthVersionMax="47" xr10:uidLastSave="{45381EDB-2B5E-4E6D-9BA2-866FD7AD8A90}"/>
  <bookViews>
    <workbookView xWindow="-110" yWindow="-110" windowWidth="19420" windowHeight="10300" xr2:uid="{237C97C0-1EDE-4989-9123-397F6CFC201B}"/>
  </bookViews>
  <sheets>
    <sheet name="RBI Data" sheetId="1" r:id="rId1"/>
  </sheets>
  <definedNames>
    <definedName name="_xlnm._FilterDatabase" localSheetId="0" hidden="1">'RBI Data'!$A$5:$O$77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 s="1"/>
  <c r="J9" i="1" s="1"/>
  <c r="J10" i="1" s="1"/>
  <c r="J11" i="1" s="1"/>
  <c r="J12" i="1" s="1"/>
  <c r="O54" i="1"/>
  <c r="O48" i="1"/>
  <c r="O42" i="1"/>
  <c r="O36" i="1"/>
  <c r="K12" i="1"/>
  <c r="I72" i="1"/>
  <c r="I71" i="1"/>
  <c r="I70" i="1"/>
  <c r="I69" i="1"/>
  <c r="K69" i="1" s="1"/>
  <c r="I68" i="1"/>
  <c r="I67" i="1"/>
  <c r="I66" i="1"/>
  <c r="K66" i="1" s="1"/>
  <c r="I65" i="1"/>
  <c r="I64" i="1"/>
  <c r="I63" i="1"/>
  <c r="I62" i="1"/>
  <c r="I61" i="1"/>
  <c r="I60" i="1"/>
  <c r="K60" i="1" s="1"/>
  <c r="I59" i="1"/>
  <c r="I58" i="1"/>
  <c r="K58" i="1" s="1"/>
  <c r="I57" i="1"/>
  <c r="I56" i="1"/>
  <c r="I55" i="1"/>
  <c r="I54" i="1"/>
  <c r="I53" i="1"/>
  <c r="I52" i="1"/>
  <c r="H51" i="1"/>
  <c r="I51" i="1" s="1"/>
  <c r="H50" i="1"/>
  <c r="I50" i="1" s="1"/>
  <c r="I49" i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K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K29" i="1" s="1"/>
  <c r="H28" i="1"/>
  <c r="I28" i="1" s="1"/>
  <c r="K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1" i="1"/>
  <c r="I10" i="1"/>
  <c r="H9" i="1"/>
  <c r="F9" i="1"/>
  <c r="F8" i="1"/>
  <c r="H7" i="1"/>
  <c r="F7" i="1"/>
  <c r="F6" i="1"/>
  <c r="I6" i="1" s="1"/>
  <c r="L6" i="1" s="1"/>
  <c r="L12" i="1" l="1"/>
  <c r="M12" i="1" s="1"/>
  <c r="N12" i="1" s="1"/>
  <c r="J13" i="1"/>
  <c r="L10" i="1"/>
  <c r="L11" i="1"/>
  <c r="K16" i="1"/>
  <c r="K59" i="1"/>
  <c r="K48" i="1"/>
  <c r="K38" i="1"/>
  <c r="K32" i="1"/>
  <c r="K27" i="1"/>
  <c r="K53" i="1"/>
  <c r="I9" i="1"/>
  <c r="L9" i="1" s="1"/>
  <c r="K72" i="1"/>
  <c r="K51" i="1"/>
  <c r="K30" i="1"/>
  <c r="K11" i="1"/>
  <c r="M11" i="1" s="1"/>
  <c r="N11" i="1" s="1"/>
  <c r="K67" i="1"/>
  <c r="K45" i="1"/>
  <c r="K24" i="1"/>
  <c r="K64" i="1"/>
  <c r="K43" i="1"/>
  <c r="K22" i="1"/>
  <c r="K61" i="1"/>
  <c r="K40" i="1"/>
  <c r="K19" i="1"/>
  <c r="K56" i="1"/>
  <c r="K35" i="1"/>
  <c r="K14" i="1"/>
  <c r="K39" i="1"/>
  <c r="K62" i="1"/>
  <c r="K21" i="1"/>
  <c r="K13" i="1"/>
  <c r="K68" i="1"/>
  <c r="K52" i="1"/>
  <c r="K44" i="1"/>
  <c r="K20" i="1"/>
  <c r="K42" i="1"/>
  <c r="K26" i="1"/>
  <c r="K10" i="1"/>
  <c r="M10" i="1" s="1"/>
  <c r="N10" i="1" s="1"/>
  <c r="K50" i="1"/>
  <c r="K34" i="1"/>
  <c r="K18" i="1"/>
  <c r="K6" i="1"/>
  <c r="K65" i="1"/>
  <c r="K57" i="1"/>
  <c r="K49" i="1"/>
  <c r="K41" i="1"/>
  <c r="K33" i="1"/>
  <c r="K25" i="1"/>
  <c r="K17" i="1"/>
  <c r="K71" i="1"/>
  <c r="K63" i="1"/>
  <c r="K55" i="1"/>
  <c r="K47" i="1"/>
  <c r="K31" i="1"/>
  <c r="K23" i="1"/>
  <c r="K15" i="1"/>
  <c r="K54" i="1"/>
  <c r="K70" i="1"/>
  <c r="K46" i="1"/>
  <c r="K37" i="1"/>
  <c r="I7" i="1"/>
  <c r="H8" i="1"/>
  <c r="H73" i="1" s="1"/>
  <c r="F73" i="1"/>
  <c r="J14" i="1" l="1"/>
  <c r="L13" i="1"/>
  <c r="M13" i="1" s="1"/>
  <c r="N13" i="1" s="1"/>
  <c r="K9" i="1"/>
  <c r="M9" i="1" s="1"/>
  <c r="N9" i="1" s="1"/>
  <c r="M6" i="1"/>
  <c r="L7" i="1"/>
  <c r="K7" i="1"/>
  <c r="I73" i="1"/>
  <c r="I8" i="1"/>
  <c r="J15" i="1" l="1"/>
  <c r="L14" i="1"/>
  <c r="M14" i="1" s="1"/>
  <c r="N14" i="1" s="1"/>
  <c r="L8" i="1"/>
  <c r="K8" i="1"/>
  <c r="K73" i="1" s="1"/>
  <c r="M7" i="1"/>
  <c r="N7" i="1" s="1"/>
  <c r="N6" i="1"/>
  <c r="J16" i="1" l="1"/>
  <c r="L15" i="1"/>
  <c r="M15" i="1" s="1"/>
  <c r="N15" i="1" s="1"/>
  <c r="M8" i="1"/>
  <c r="N8" i="1" s="1"/>
  <c r="J17" i="1" l="1"/>
  <c r="L16" i="1"/>
  <c r="M16" i="1" s="1"/>
  <c r="N16" i="1" s="1"/>
  <c r="J18" i="1" l="1"/>
  <c r="L17" i="1"/>
  <c r="M17" i="1" s="1"/>
  <c r="N17" i="1" s="1"/>
  <c r="J19" i="1" l="1"/>
  <c r="L18" i="1"/>
  <c r="M18" i="1" l="1"/>
  <c r="J20" i="1"/>
  <c r="L19" i="1"/>
  <c r="M19" i="1" s="1"/>
  <c r="N19" i="1" s="1"/>
  <c r="J21" i="1" l="1"/>
  <c r="L20" i="1"/>
  <c r="M20" i="1" s="1"/>
  <c r="N20" i="1" s="1"/>
  <c r="N18" i="1"/>
  <c r="J22" i="1" l="1"/>
  <c r="L21" i="1"/>
  <c r="M21" i="1" l="1"/>
  <c r="J23" i="1"/>
  <c r="L22" i="1"/>
  <c r="M22" i="1" s="1"/>
  <c r="N22" i="1" s="1"/>
  <c r="N21" i="1" l="1"/>
  <c r="J24" i="1"/>
  <c r="L23" i="1"/>
  <c r="M23" i="1" s="1"/>
  <c r="N23" i="1" s="1"/>
  <c r="J25" i="1" l="1"/>
  <c r="L24" i="1"/>
  <c r="M24" i="1" s="1"/>
  <c r="N24" i="1" l="1"/>
  <c r="J26" i="1"/>
  <c r="L25" i="1"/>
  <c r="M25" i="1" s="1"/>
  <c r="N25" i="1" s="1"/>
  <c r="J27" i="1" l="1"/>
  <c r="L26" i="1"/>
  <c r="M26" i="1" s="1"/>
  <c r="N26" i="1" s="1"/>
  <c r="J28" i="1" l="1"/>
  <c r="L27" i="1"/>
  <c r="M27" i="1" s="1"/>
  <c r="N27" i="1" s="1"/>
  <c r="J29" i="1" l="1"/>
  <c r="L28" i="1"/>
  <c r="M28" i="1" s="1"/>
  <c r="N28" i="1" s="1"/>
  <c r="J30" i="1" l="1"/>
  <c r="L29" i="1"/>
  <c r="M29" i="1" s="1"/>
  <c r="N29" i="1" s="1"/>
  <c r="J31" i="1" l="1"/>
  <c r="L30" i="1"/>
  <c r="M30" i="1" s="1"/>
  <c r="N30" i="1" s="1"/>
  <c r="J32" i="1" l="1"/>
  <c r="L31" i="1"/>
  <c r="M31" i="1" s="1"/>
  <c r="N31" i="1" s="1"/>
  <c r="J33" i="1" l="1"/>
  <c r="L32" i="1"/>
  <c r="M32" i="1" s="1"/>
  <c r="N32" i="1" s="1"/>
  <c r="J34" i="1" l="1"/>
  <c r="L33" i="1"/>
  <c r="M33" i="1" s="1"/>
  <c r="N33" i="1" s="1"/>
  <c r="J35" i="1" l="1"/>
  <c r="L34" i="1"/>
  <c r="M34" i="1" s="1"/>
  <c r="N34" i="1" s="1"/>
  <c r="J36" i="1" l="1"/>
  <c r="L35" i="1"/>
  <c r="M35" i="1" s="1"/>
  <c r="N35" i="1" s="1"/>
  <c r="J37" i="1" l="1"/>
  <c r="L36" i="1"/>
  <c r="M36" i="1" s="1"/>
  <c r="N36" i="1" s="1"/>
  <c r="J38" i="1" l="1"/>
  <c r="L37" i="1"/>
  <c r="M37" i="1" s="1"/>
  <c r="N37" i="1" s="1"/>
  <c r="J39" i="1" l="1"/>
  <c r="L38" i="1"/>
  <c r="M38" i="1" s="1"/>
  <c r="N38" i="1" s="1"/>
  <c r="J40" i="1" l="1"/>
  <c r="L39" i="1"/>
  <c r="M39" i="1" s="1"/>
  <c r="N39" i="1" s="1"/>
  <c r="J41" i="1" l="1"/>
  <c r="L40" i="1"/>
  <c r="M40" i="1" s="1"/>
  <c r="N40" i="1" s="1"/>
  <c r="J42" i="1" l="1"/>
  <c r="L41" i="1"/>
  <c r="M41" i="1" s="1"/>
  <c r="N41" i="1" s="1"/>
  <c r="J43" i="1" l="1"/>
  <c r="L42" i="1"/>
  <c r="M42" i="1" s="1"/>
  <c r="N42" i="1" s="1"/>
  <c r="J44" i="1" l="1"/>
  <c r="L43" i="1"/>
  <c r="M43" i="1" s="1"/>
  <c r="N43" i="1" s="1"/>
  <c r="J45" i="1" l="1"/>
  <c r="L44" i="1"/>
  <c r="M44" i="1" s="1"/>
  <c r="N44" i="1" s="1"/>
  <c r="J46" i="1" l="1"/>
  <c r="L45" i="1"/>
  <c r="M45" i="1" s="1"/>
  <c r="N45" i="1" s="1"/>
  <c r="J47" i="1" l="1"/>
  <c r="L46" i="1"/>
  <c r="M46" i="1" s="1"/>
  <c r="N46" i="1" s="1"/>
  <c r="J48" i="1" l="1"/>
  <c r="L47" i="1"/>
  <c r="M47" i="1" s="1"/>
  <c r="N47" i="1" s="1"/>
  <c r="J49" i="1" l="1"/>
  <c r="L48" i="1"/>
  <c r="M48" i="1" s="1"/>
  <c r="N48" i="1" s="1"/>
  <c r="J50" i="1" l="1"/>
  <c r="L49" i="1"/>
  <c r="M49" i="1" s="1"/>
  <c r="N49" i="1" s="1"/>
  <c r="J51" i="1" l="1"/>
  <c r="L50" i="1"/>
  <c r="M50" i="1" s="1"/>
  <c r="N50" i="1" s="1"/>
  <c r="J52" i="1" l="1"/>
  <c r="L51" i="1"/>
  <c r="M51" i="1" s="1"/>
  <c r="N51" i="1" s="1"/>
  <c r="J53" i="1" l="1"/>
  <c r="L52" i="1"/>
  <c r="M52" i="1" s="1"/>
  <c r="N52" i="1" s="1"/>
  <c r="J54" i="1" l="1"/>
  <c r="L53" i="1"/>
  <c r="M53" i="1" s="1"/>
  <c r="N53" i="1" s="1"/>
  <c r="J55" i="1" l="1"/>
  <c r="L54" i="1"/>
  <c r="M54" i="1" s="1"/>
  <c r="N54" i="1" s="1"/>
  <c r="J56" i="1" l="1"/>
  <c r="L55" i="1"/>
  <c r="M55" i="1" s="1"/>
  <c r="N55" i="1" s="1"/>
  <c r="J57" i="1" l="1"/>
  <c r="L56" i="1"/>
  <c r="M56" i="1" s="1"/>
  <c r="N56" i="1" s="1"/>
  <c r="J58" i="1" l="1"/>
  <c r="L57" i="1"/>
  <c r="M57" i="1" s="1"/>
  <c r="N57" i="1" s="1"/>
  <c r="J59" i="1" l="1"/>
  <c r="L58" i="1"/>
  <c r="M58" i="1" s="1"/>
  <c r="N58" i="1" s="1"/>
  <c r="J60" i="1" l="1"/>
  <c r="L59" i="1"/>
  <c r="M59" i="1" s="1"/>
  <c r="N59" i="1" s="1"/>
  <c r="J61" i="1" l="1"/>
  <c r="L60" i="1"/>
  <c r="M60" i="1" s="1"/>
  <c r="N60" i="1" s="1"/>
  <c r="J62" i="1" l="1"/>
  <c r="L61" i="1"/>
  <c r="M61" i="1" s="1"/>
  <c r="N61" i="1" s="1"/>
  <c r="J63" i="1" l="1"/>
  <c r="L62" i="1"/>
  <c r="M62" i="1" s="1"/>
  <c r="N62" i="1" s="1"/>
  <c r="J64" i="1" l="1"/>
  <c r="L63" i="1"/>
  <c r="M63" i="1" s="1"/>
  <c r="N63" i="1" s="1"/>
  <c r="J65" i="1" l="1"/>
  <c r="L64" i="1"/>
  <c r="M64" i="1" s="1"/>
  <c r="N64" i="1" s="1"/>
  <c r="J66" i="1" l="1"/>
  <c r="L65" i="1"/>
  <c r="M65" i="1" s="1"/>
  <c r="N65" i="1" s="1"/>
  <c r="J67" i="1" l="1"/>
  <c r="L66" i="1"/>
  <c r="M66" i="1" s="1"/>
  <c r="N66" i="1" s="1"/>
  <c r="J68" i="1" l="1"/>
  <c r="L67" i="1"/>
  <c r="M67" i="1" s="1"/>
  <c r="N67" i="1" s="1"/>
  <c r="J69" i="1" l="1"/>
  <c r="L68" i="1"/>
  <c r="M68" i="1" s="1"/>
  <c r="N68" i="1" s="1"/>
  <c r="J70" i="1" l="1"/>
  <c r="L69" i="1"/>
  <c r="M69" i="1" s="1"/>
  <c r="N69" i="1" s="1"/>
  <c r="J71" i="1" l="1"/>
  <c r="L70" i="1"/>
  <c r="M70" i="1" s="1"/>
  <c r="N70" i="1" s="1"/>
  <c r="J72" i="1" l="1"/>
  <c r="L72" i="1" s="1"/>
  <c r="L71" i="1"/>
  <c r="M71" i="1" s="1"/>
  <c r="N71" i="1" s="1"/>
  <c r="M72" i="1" l="1"/>
  <c r="L73" i="1"/>
  <c r="N72" i="1" l="1"/>
  <c r="M73" i="1"/>
  <c r="N73" i="1" s="1"/>
  <c r="O73" i="1" l="1"/>
  <c r="N74" i="1"/>
  <c r="O7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<sst xmlns="http://schemas.openxmlformats.org/spreadsheetml/2006/main" count="221" uniqueCount="221">
  <si>
    <t>Data on Sovereign Gold Bonds (Tranche wise) issued till January 22, 2026</t>
  </si>
  <si>
    <t>S No</t>
  </si>
  <si>
    <t>Tranche</t>
  </si>
  <si>
    <t xml:space="preserve">ISIN </t>
  </si>
  <si>
    <t>Issue Date</t>
  </si>
  <si>
    <t>Issue price/unit</t>
  </si>
  <si>
    <t xml:space="preserve">Number of units subscribed (in grams) </t>
  </si>
  <si>
    <t>Final Redemption Price/Unit</t>
  </si>
  <si>
    <t>Number of units redeemed (including premature redemption)/cancelled (in grams)</t>
  </si>
  <si>
    <t xml:space="preserve">Units outstanding (in grams) </t>
  </si>
  <si>
    <t>2015-I</t>
  </si>
  <si>
    <t>IN0020150085</t>
  </si>
  <si>
    <t>November 30, 2015</t>
  </si>
  <si>
    <t>2016-I</t>
  </si>
  <si>
    <t>IN0020150101</t>
  </si>
  <si>
    <t>February 8, 2016</t>
  </si>
  <si>
    <t>2016-II</t>
  </si>
  <si>
    <t>IN0020150119</t>
  </si>
  <si>
    <t>March 29, 2016</t>
  </si>
  <si>
    <t>2016-17 Series I</t>
  </si>
  <si>
    <t>IN0020160027</t>
  </si>
  <si>
    <t>August 5, 2016</t>
  </si>
  <si>
    <t>2016-17 Series II</t>
  </si>
  <si>
    <t>IN0020160043</t>
  </si>
  <si>
    <t>September 30, 2016</t>
  </si>
  <si>
    <t>2016-17 Series III</t>
  </si>
  <si>
    <t>IN0020160076</t>
  </si>
  <si>
    <t>November 17, 2016</t>
  </si>
  <si>
    <t>2016-17 Series IV</t>
  </si>
  <si>
    <t>IN0020160126</t>
  </si>
  <si>
    <t>March 17, 2017</t>
  </si>
  <si>
    <t>2017-18 Series I</t>
  </si>
  <si>
    <t>IN0020170018</t>
  </si>
  <si>
    <t>May 12, 2017</t>
  </si>
  <si>
    <t>2017-18 Series II</t>
  </si>
  <si>
    <t>IN0020170034</t>
  </si>
  <si>
    <t>July 28, 2017</t>
  </si>
  <si>
    <t>2017-18 Series III</t>
  </si>
  <si>
    <t>IN0020170059</t>
  </si>
  <si>
    <t>October 16, 2017</t>
  </si>
  <si>
    <t>2017-18 Series IV</t>
  </si>
  <si>
    <t>IN0020170067</t>
  </si>
  <si>
    <t>October 23, 2017</t>
  </si>
  <si>
    <t>2017-18 Series V</t>
  </si>
  <si>
    <t>IN0020170075</t>
  </si>
  <si>
    <t>October 30, 2017</t>
  </si>
  <si>
    <t>2017-18 Series VI</t>
  </si>
  <si>
    <t>IN0020170083</t>
  </si>
  <si>
    <t>November 6, 2017</t>
  </si>
  <si>
    <t>2017-18 Series VII</t>
  </si>
  <si>
    <t>IN0020170091</t>
  </si>
  <si>
    <t>November 13, 2017</t>
  </si>
  <si>
    <t>2017-18 Series VIII</t>
  </si>
  <si>
    <t>IN0020170109</t>
  </si>
  <si>
    <t>November 20, 2017</t>
  </si>
  <si>
    <t>2017-18 Series IX</t>
  </si>
  <si>
    <t>IN0020170117</t>
  </si>
  <si>
    <t>November 27, 2017</t>
  </si>
  <si>
    <t>2017-18 Series X</t>
  </si>
  <si>
    <t>IN0020170125</t>
  </si>
  <si>
    <t>December 4, 2017</t>
  </si>
  <si>
    <t>2017-18 Series XI</t>
  </si>
  <si>
    <t>IN0020170133</t>
  </si>
  <si>
    <t>December 11, 2017</t>
  </si>
  <si>
    <t>2017-18 Series XII</t>
  </si>
  <si>
    <t>IN0020170141</t>
  </si>
  <si>
    <t>December 18, 2017</t>
  </si>
  <si>
    <t>2017-18 Series XIII</t>
  </si>
  <si>
    <t>IN0020170158</t>
  </si>
  <si>
    <t>December 26, 2017</t>
  </si>
  <si>
    <t>2017-18 Series XIV</t>
  </si>
  <si>
    <t>IN0020170166</t>
  </si>
  <si>
    <t>January 1, 2018</t>
  </si>
  <si>
    <t>2018-19 Series I</t>
  </si>
  <si>
    <t>IN0020180033</t>
  </si>
  <si>
    <t>May 4, 2018</t>
  </si>
  <si>
    <t>2018-19 Series II</t>
  </si>
  <si>
    <t>IN0020180249</t>
  </si>
  <si>
    <t>October 23, 2018</t>
  </si>
  <si>
    <t>2018-19 Series III</t>
  </si>
  <si>
    <t>IN0020180314</t>
  </si>
  <si>
    <t>November 13,  2018</t>
  </si>
  <si>
    <t>2018-19 Series IV</t>
  </si>
  <si>
    <t>IN0020180389</t>
  </si>
  <si>
    <t>January 1, 2019</t>
  </si>
  <si>
    <t>2018-19 Series V</t>
  </si>
  <si>
    <t>IN0020180462</t>
  </si>
  <si>
    <t>January 22, 2019</t>
  </si>
  <si>
    <t>2018-19 Series VI</t>
  </si>
  <si>
    <t>IN0020180561</t>
  </si>
  <si>
    <t>February 12, 2019</t>
  </si>
  <si>
    <t>2019-20 Series I</t>
  </si>
  <si>
    <t>IN0020190073</t>
  </si>
  <si>
    <t>June 11, 2019</t>
  </si>
  <si>
    <t>2019-20 Series II</t>
  </si>
  <si>
    <t>IN0020190081</t>
  </si>
  <si>
    <t>July 16, 2019</t>
  </si>
  <si>
    <t>2019-20 Series III</t>
  </si>
  <si>
    <t>IN0020190107</t>
  </si>
  <si>
    <t>August 14, 2019</t>
  </si>
  <si>
    <t>2019-20 Series IV</t>
  </si>
  <si>
    <t>IN0020190115</t>
  </si>
  <si>
    <t>September 17, 2019</t>
  </si>
  <si>
    <t>2019-20 Series V</t>
  </si>
  <si>
    <t>IN0020190370</t>
  </si>
  <si>
    <t>October 15, 2019</t>
  </si>
  <si>
    <t>2019-20 Series VI</t>
  </si>
  <si>
    <t>IN0020190388</t>
  </si>
  <si>
    <t>October 30, 2019</t>
  </si>
  <si>
    <t>2019-20 Series VII</t>
  </si>
  <si>
    <t>IN0020190461</t>
  </si>
  <si>
    <t>December 10, 2019</t>
  </si>
  <si>
    <t>2019-20 Series VIII</t>
  </si>
  <si>
    <t>IN0020190537</t>
  </si>
  <si>
    <t>January 21, 2020</t>
  </si>
  <si>
    <t>2019-20 Series IX</t>
  </si>
  <si>
    <t>IN0020190545</t>
  </si>
  <si>
    <t>February 11, 2020</t>
  </si>
  <si>
    <t>2019-20 Series X</t>
  </si>
  <si>
    <t>IN0020190552</t>
  </si>
  <si>
    <t>March 11, 2020</t>
  </si>
  <si>
    <t>2020-21, Series I</t>
  </si>
  <si>
    <t>IN0020200062</t>
  </si>
  <si>
    <t>April 28, 2020</t>
  </si>
  <si>
    <t>2020-21, Series II</t>
  </si>
  <si>
    <t>IN0020200088</t>
  </si>
  <si>
    <t>May 19, 2020</t>
  </si>
  <si>
    <t>2020-21, Series III</t>
  </si>
  <si>
    <t>IN0020200104</t>
  </si>
  <si>
    <t>June 16, 2020</t>
  </si>
  <si>
    <t>2020-21, Series IV</t>
  </si>
  <si>
    <t>IN0020200146</t>
  </si>
  <si>
    <t>July 14, 2020</t>
  </si>
  <si>
    <t>2020-21, Series V</t>
  </si>
  <si>
    <t>IN0020200161</t>
  </si>
  <si>
    <t>August 11, 2020</t>
  </si>
  <si>
    <t xml:space="preserve">2020-21, Series VI </t>
  </si>
  <si>
    <t>IN0020200195</t>
  </si>
  <si>
    <t>September 8, 2020</t>
  </si>
  <si>
    <t>2020-21, Series VII</t>
  </si>
  <si>
    <t>IN0020200203</t>
  </si>
  <si>
    <t>October 20, 2020</t>
  </si>
  <si>
    <t>2020-21, Series VIII</t>
  </si>
  <si>
    <t>IN0020200286</t>
  </si>
  <si>
    <t>November 18, 2020</t>
  </si>
  <si>
    <t>2020-21, Series IX</t>
  </si>
  <si>
    <t>IN0020200377</t>
  </si>
  <si>
    <t>January 5, 2021</t>
  </si>
  <si>
    <t>2020-21, Series X</t>
  </si>
  <si>
    <t>IN0020200385</t>
  </si>
  <si>
    <t>January 19, 2021</t>
  </si>
  <si>
    <t>2020-21, Series XI</t>
  </si>
  <si>
    <t>IN0020200393</t>
  </si>
  <si>
    <t>February 9, 2021</t>
  </si>
  <si>
    <t>2020-21, Series XII</t>
  </si>
  <si>
    <t>IN0020200427</t>
  </si>
  <si>
    <t>March 9, 2021</t>
  </si>
  <si>
    <t>2021-22, Series I</t>
  </si>
  <si>
    <t>IN0020210053</t>
  </si>
  <si>
    <t>May 25, 2021</t>
  </si>
  <si>
    <t>2021-22, Series II</t>
  </si>
  <si>
    <t>IN0020210061</t>
  </si>
  <si>
    <t>June 1, 2021</t>
  </si>
  <si>
    <t>2021-22, Series III</t>
  </si>
  <si>
    <t>IN0020210087</t>
  </si>
  <si>
    <t>June 8, 2021</t>
  </si>
  <si>
    <t xml:space="preserve">2021-22, Series IV </t>
  </si>
  <si>
    <t>IN0020210111</t>
  </si>
  <si>
    <t>July 20, 2021</t>
  </si>
  <si>
    <t>2021-22, Series V</t>
  </si>
  <si>
    <t>IN0020210129</t>
  </si>
  <si>
    <t>August 17, 2021</t>
  </si>
  <si>
    <t>2021-22, Series VI</t>
  </si>
  <si>
    <t>IN0020210145</t>
  </si>
  <si>
    <t>September 7, 2021</t>
  </si>
  <si>
    <t>2021-22, Series VII</t>
  </si>
  <si>
    <t>IN0020210178</t>
  </si>
  <si>
    <t>November 2, 2021</t>
  </si>
  <si>
    <t>2021-22, Series VIII</t>
  </si>
  <si>
    <t>IN0020210228</t>
  </si>
  <si>
    <t>December 7, 2021</t>
  </si>
  <si>
    <t>2021-22, Series IX</t>
  </si>
  <si>
    <t>IN0020210236</t>
  </si>
  <si>
    <t>January 18, 2022</t>
  </si>
  <si>
    <t>2021-22, Series X</t>
  </si>
  <si>
    <t>IN0020210319</t>
  </si>
  <si>
    <t>March 8, 2022</t>
  </si>
  <si>
    <t>2022-23, Series I</t>
  </si>
  <si>
    <t>IN0020220045</t>
  </si>
  <si>
    <t>June 28, 2022</t>
  </si>
  <si>
    <t>2022-23, Series II</t>
  </si>
  <si>
    <t>IN0020220078</t>
  </si>
  <si>
    <t>August 30, 2022</t>
  </si>
  <si>
    <t>2022-23, Series III</t>
  </si>
  <si>
    <t>IN0020220110</t>
  </si>
  <si>
    <t>December 27, 2022</t>
  </si>
  <si>
    <t>2022-23, Series IV</t>
  </si>
  <si>
    <t>IN0020220169</t>
  </si>
  <si>
    <t>March 14, 2023</t>
  </si>
  <si>
    <t>2023-24, Series I</t>
  </si>
  <si>
    <t>IN0020230069</t>
  </si>
  <si>
    <t>June 27, 2023</t>
  </si>
  <si>
    <t>2023-24, Series II</t>
  </si>
  <si>
    <t>IN0020230093</t>
  </si>
  <si>
    <t>September 20, 2023</t>
  </si>
  <si>
    <t>2023-24, Series III</t>
  </si>
  <si>
    <t>IN0020230168</t>
  </si>
  <si>
    <t>December 28, 2023</t>
  </si>
  <si>
    <t>2023-24, Series IV</t>
  </si>
  <si>
    <t>IN0020230184</t>
  </si>
  <si>
    <t>February 21, 2024</t>
  </si>
  <si>
    <t xml:space="preserve">Source : </t>
  </si>
  <si>
    <t>https://www.rbi.org.in/Scripts/BS_SwarnaBharat.aspx</t>
  </si>
  <si>
    <t>Cost of Units Outstanding
(₹ in Crores)</t>
  </si>
  <si>
    <t>Current Value of Units Outstanding
(₹ in Crores)</t>
  </si>
  <si>
    <t>Gain of Units Outstanding
(₹ in Crores)</t>
  </si>
  <si>
    <t>TOTAL</t>
  </si>
  <si>
    <t>Tax @ 12.5% + Cess @ 4%
(₹ in Crores)</t>
  </si>
  <si>
    <t>IBJA Gold Price as on 12-Feb-2026 (₹)</t>
  </si>
  <si>
    <t>Bought in market assumption</t>
  </si>
  <si>
    <t xml:space="preserve">Capital gain tax recovered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</si>
</sst>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6" formatCode="[$-F800]dddd\,\ mmmm\ dd\,\ yyyy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b/>
      <i/>
      <sz val="10"/>
      <color rgb="FF0070C0"/>
      <name val="Arial"/>
      <family val="2"/>
    </font>
    <font>
      <b/>
      <i/>
      <sz val="12"/>
      <color rgb="FF0070C0"/>
      <name val="Arial"/>
      <family val="2"/>
    </font>
    <font>
      <b/>
      <i/>
      <sz val="12"/>
      <color rgb="FF0070C0"/>
      <name val="Aptos Narrow"/>
      <family val="2"/>
      <scheme val="minor"/>
    </font>
    <font>
      <sz val="10"/>
      <color rgb="FF0070C0"/>
      <name val="Arial"/>
      <family val="2"/>
    </font>
    <font>
      <sz val="11"/>
      <color rgb="FF0070C0"/>
      <name val="Aptos Narrow"/>
      <family val="2"/>
      <scheme val="minor"/>
    </font>
    <font>
      <b/>
      <i/>
      <sz val="12"/>
      <name val="Arial"/>
      <family val="2"/>
    </font>
    <font>
      <b/>
      <i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8" fillId="0" borderId="0" xfId="2" applyFont="1"/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/>
    <xf numFmtId="164" fontId="11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/>
    <xf numFmtId="0" fontId="0" fillId="0" borderId="4" xfId="0" applyBorder="1"/>
    <xf numFmtId="43" fontId="0" fillId="0" borderId="0" xfId="0" applyNumberFormat="1"/>
    <xf numFmtId="0" fontId="9" fillId="2" borderId="0" xfId="0" applyFont="1" applyFill="1" applyAlignment="1">
      <alignment horizontal="center"/>
    </xf>
    <xf numFmtId="164" fontId="9" fillId="2" borderId="0" xfId="1" applyNumberFormat="1" applyFont="1" applyFill="1" applyBorder="1"/>
    <xf numFmtId="164" fontId="12" fillId="2" borderId="0" xfId="1" applyNumberFormat="1" applyFont="1" applyFill="1" applyBorder="1"/>
    <xf numFmtId="164" fontId="12" fillId="2" borderId="3" xfId="1" applyNumberFormat="1" applyFont="1" applyFill="1" applyBorder="1"/>
    <xf numFmtId="164" fontId="13" fillId="2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/>
    <xf numFmtId="164" fontId="17" fillId="2" borderId="1" xfId="0" applyNumberFormat="1" applyFont="1" applyFill="1" applyBorder="1"/>
    <xf numFmtId="164" fontId="16" fillId="2" borderId="3" xfId="1" applyNumberFormat="1" applyFont="1" applyFill="1" applyBorder="1"/>
    <xf numFmtId="164" fontId="17" fillId="2" borderId="5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/>
    <xf numFmtId="164" fontId="14" fillId="0" borderId="1" xfId="1" applyNumberFormat="1" applyFont="1" applyFill="1" applyBorder="1"/>
    <xf numFmtId="164" fontId="15" fillId="0" borderId="1" xfId="0" applyNumberFormat="1" applyFont="1" applyFill="1" applyBorder="1"/>
    <xf numFmtId="166" fontId="4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10" fontId="18" fillId="0" borderId="0" xfId="3" applyNumberFormat="1" applyFont="1"/>
    <xf numFmtId="164" fontId="9" fillId="2" borderId="8" xfId="1" applyNumberFormat="1" applyFont="1" applyFill="1" applyBorder="1"/>
    <xf numFmtId="164" fontId="12" fillId="2" borderId="9" xfId="1" applyNumberFormat="1" applyFont="1" applyFill="1" applyBorder="1" applyAlignment="1">
      <alignment horizontal="right"/>
    </xf>
    <xf numFmtId="9" fontId="16" fillId="2" borderId="4" xfId="3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bi.org.in/Scripts/BS_SwarnaBhara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6B0B-9880-4323-9356-87171D8A471E}">
  <dimension ref="A1:O77"/>
  <sheetViews>
    <sheetView showGridLines="0" tabSelected="1" workbookViewId="0">
      <pane xSplit="2" ySplit="5" topLeftCell="F9" activePane="bottomRight" state="frozen"/>
      <selection pane="topRight" activeCell="C1" sqref="C1"/>
      <selection pane="bottomLeft" activeCell="A4" sqref="A4"/>
      <selection pane="bottomRight" activeCell="A4" sqref="A4:I4"/>
    </sheetView>
  </sheetViews>
  <sheetFormatPr defaultRowHeight="14.5" x14ac:dyDescent="0.35"/>
  <cols>
    <col min="1" max="1" width="10.81640625" customWidth="1"/>
    <col min="2" max="2" width="22.54296875" customWidth="1"/>
    <col min="3" max="3" width="19.81640625" customWidth="1"/>
    <col min="4" max="4" width="23.81640625" customWidth="1"/>
    <col min="5" max="5" width="13" customWidth="1"/>
    <col min="6" max="6" width="15.54296875" customWidth="1"/>
    <col min="7" max="7" width="13.7265625" customWidth="1"/>
    <col min="8" max="8" width="21.7265625" customWidth="1"/>
    <col min="9" max="9" width="17.7265625" customWidth="1"/>
    <col min="10" max="10" width="16.7265625" customWidth="1"/>
    <col min="11" max="12" width="20.54296875" customWidth="1"/>
    <col min="13" max="13" width="13.54296875" customWidth="1"/>
    <col min="14" max="14" width="13.08984375" customWidth="1"/>
  </cols>
  <sheetData>
    <row r="1" spans="1:15" x14ac:dyDescent="0.35">
      <c r="A1" s="1" t="s">
        <v>211</v>
      </c>
      <c r="B1" s="2" t="s">
        <v>212</v>
      </c>
    </row>
    <row r="2" spans="1:15" x14ac:dyDescent="0.35">
      <c r="A2" s="16" t="e" vm="1">
        <v>#VALUE!</v>
      </c>
      <c r="B2" s="16"/>
      <c r="C2" s="16" t="e" vm="1">
        <v>#VALUE!</v>
      </c>
      <c r="D2" s="16"/>
      <c r="E2" s="16" t="e" vm="1">
        <v>#VALUE!</v>
      </c>
      <c r="F2" s="16"/>
      <c r="G2" s="16" t="e" vm="1">
        <v>#VALUE!</v>
      </c>
      <c r="H2" s="16"/>
      <c r="I2" s="16" t="e" vm="1">
        <v>#VALUE!</v>
      </c>
      <c r="J2" s="16"/>
      <c r="K2" s="16" t="e" vm="1">
        <v>#VALUE!</v>
      </c>
      <c r="L2" s="16"/>
      <c r="M2" s="16" t="e" vm="1">
        <v>#VALUE!</v>
      </c>
      <c r="N2" s="16"/>
    </row>
    <row r="3" spans="1:15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35">
      <c r="A4" s="21" t="s">
        <v>0</v>
      </c>
      <c r="B4" s="21"/>
      <c r="C4" s="21"/>
      <c r="D4" s="21"/>
      <c r="E4" s="21"/>
      <c r="F4" s="21"/>
      <c r="G4" s="21"/>
      <c r="H4" s="21"/>
      <c r="I4" s="21"/>
      <c r="N4" s="9"/>
    </row>
    <row r="5" spans="1:15" ht="65" x14ac:dyDescent="0.35">
      <c r="A5" s="4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7" t="s">
        <v>218</v>
      </c>
      <c r="K5" s="7" t="s">
        <v>213</v>
      </c>
      <c r="L5" s="7" t="s">
        <v>214</v>
      </c>
      <c r="M5" s="7" t="s">
        <v>215</v>
      </c>
      <c r="N5" s="7" t="s">
        <v>217</v>
      </c>
      <c r="O5" s="23"/>
    </row>
    <row r="6" spans="1:15" x14ac:dyDescent="0.35">
      <c r="A6" s="28">
        <v>1</v>
      </c>
      <c r="B6" s="29" t="s">
        <v>10</v>
      </c>
      <c r="C6" s="30" t="s">
        <v>11</v>
      </c>
      <c r="D6" s="31" t="s">
        <v>12</v>
      </c>
      <c r="E6" s="32">
        <v>2684</v>
      </c>
      <c r="F6" s="32">
        <f>913571</f>
        <v>913571</v>
      </c>
      <c r="G6" s="32">
        <v>6132</v>
      </c>
      <c r="H6" s="32">
        <v>913571</v>
      </c>
      <c r="I6" s="32">
        <f>F6-H6</f>
        <v>0</v>
      </c>
      <c r="J6" s="33">
        <v>15500</v>
      </c>
      <c r="K6" s="33">
        <f>(I6*E6)/10000000</f>
        <v>0</v>
      </c>
      <c r="L6" s="33">
        <f>(I6*J6)/10000000</f>
        <v>0</v>
      </c>
      <c r="M6" s="33">
        <f>L6-K6</f>
        <v>0</v>
      </c>
      <c r="N6" s="34">
        <f>M6*13%</f>
        <v>0</v>
      </c>
    </row>
    <row r="7" spans="1:15" x14ac:dyDescent="0.35">
      <c r="A7" s="28">
        <v>2</v>
      </c>
      <c r="B7" s="29" t="s">
        <v>13</v>
      </c>
      <c r="C7" s="30" t="s">
        <v>14</v>
      </c>
      <c r="D7" s="31" t="s">
        <v>15</v>
      </c>
      <c r="E7" s="32">
        <v>2600</v>
      </c>
      <c r="F7" s="32">
        <f>2869973</f>
        <v>2869973</v>
      </c>
      <c r="G7" s="32">
        <v>6271</v>
      </c>
      <c r="H7" s="32">
        <f>2869973</f>
        <v>2869973</v>
      </c>
      <c r="I7" s="32">
        <f t="shared" ref="I7:I72" si="0">F7-H7</f>
        <v>0</v>
      </c>
      <c r="J7" s="33">
        <f>J6</f>
        <v>15500</v>
      </c>
      <c r="K7" s="33">
        <f t="shared" ref="K7:K70" si="1">(I7*E7)/10000000</f>
        <v>0</v>
      </c>
      <c r="L7" s="33">
        <f t="shared" ref="L7:L70" si="2">(I7*J7)/10000000</f>
        <v>0</v>
      </c>
      <c r="M7" s="33">
        <f t="shared" ref="M7:M70" si="3">L7-K7</f>
        <v>0</v>
      </c>
      <c r="N7" s="34">
        <f t="shared" ref="N7:N70" si="4">M7*13%</f>
        <v>0</v>
      </c>
    </row>
    <row r="8" spans="1:15" x14ac:dyDescent="0.35">
      <c r="A8" s="28">
        <v>3</v>
      </c>
      <c r="B8" s="29" t="s">
        <v>16</v>
      </c>
      <c r="C8" s="30" t="s">
        <v>17</v>
      </c>
      <c r="D8" s="31" t="s">
        <v>18</v>
      </c>
      <c r="E8" s="32">
        <v>2916</v>
      </c>
      <c r="F8" s="32">
        <f>1119741</f>
        <v>1119741</v>
      </c>
      <c r="G8" s="32">
        <v>6601</v>
      </c>
      <c r="H8" s="32">
        <f>F8</f>
        <v>1119741</v>
      </c>
      <c r="I8" s="32">
        <f t="shared" si="0"/>
        <v>0</v>
      </c>
      <c r="J8" s="33">
        <f t="shared" ref="J8:J71" si="5">J7</f>
        <v>15500</v>
      </c>
      <c r="K8" s="33">
        <f t="shared" si="1"/>
        <v>0</v>
      </c>
      <c r="L8" s="33">
        <f t="shared" si="2"/>
        <v>0</v>
      </c>
      <c r="M8" s="33">
        <f t="shared" si="3"/>
        <v>0</v>
      </c>
      <c r="N8" s="34">
        <f t="shared" si="4"/>
        <v>0</v>
      </c>
    </row>
    <row r="9" spans="1:15" x14ac:dyDescent="0.35">
      <c r="A9" s="28">
        <v>4</v>
      </c>
      <c r="B9" s="29" t="s">
        <v>19</v>
      </c>
      <c r="C9" s="30" t="s">
        <v>20</v>
      </c>
      <c r="D9" s="31" t="s">
        <v>21</v>
      </c>
      <c r="E9" s="32">
        <v>3119</v>
      </c>
      <c r="F9" s="32">
        <f>2953025</f>
        <v>2953025</v>
      </c>
      <c r="G9" s="32">
        <v>6938</v>
      </c>
      <c r="H9" s="32">
        <f>9319+51669+52502+47298+27095+14315 +2750827</f>
        <v>2953025</v>
      </c>
      <c r="I9" s="32">
        <f t="shared" si="0"/>
        <v>0</v>
      </c>
      <c r="J9" s="33">
        <f t="shared" si="5"/>
        <v>15500</v>
      </c>
      <c r="K9" s="33">
        <f t="shared" si="1"/>
        <v>0</v>
      </c>
      <c r="L9" s="33">
        <f t="shared" si="2"/>
        <v>0</v>
      </c>
      <c r="M9" s="33">
        <f t="shared" si="3"/>
        <v>0</v>
      </c>
      <c r="N9" s="34">
        <f t="shared" si="4"/>
        <v>0</v>
      </c>
    </row>
    <row r="10" spans="1:15" x14ac:dyDescent="0.35">
      <c r="A10" s="28">
        <v>5</v>
      </c>
      <c r="B10" s="29" t="s">
        <v>22</v>
      </c>
      <c r="C10" s="30" t="s">
        <v>23</v>
      </c>
      <c r="D10" s="31" t="s">
        <v>24</v>
      </c>
      <c r="E10" s="32">
        <v>3150</v>
      </c>
      <c r="F10" s="32">
        <v>2615800</v>
      </c>
      <c r="G10" s="32">
        <v>7517</v>
      </c>
      <c r="H10" s="32">
        <v>2615800</v>
      </c>
      <c r="I10" s="32">
        <f t="shared" si="0"/>
        <v>0</v>
      </c>
      <c r="J10" s="33">
        <f t="shared" si="5"/>
        <v>15500</v>
      </c>
      <c r="K10" s="33">
        <f t="shared" si="1"/>
        <v>0</v>
      </c>
      <c r="L10" s="33">
        <f t="shared" si="2"/>
        <v>0</v>
      </c>
      <c r="M10" s="33">
        <f t="shared" si="3"/>
        <v>0</v>
      </c>
      <c r="N10" s="34">
        <f t="shared" si="4"/>
        <v>0</v>
      </c>
    </row>
    <row r="11" spans="1:15" x14ac:dyDescent="0.35">
      <c r="A11" s="28">
        <v>6</v>
      </c>
      <c r="B11" s="29" t="s">
        <v>25</v>
      </c>
      <c r="C11" s="30" t="s">
        <v>26</v>
      </c>
      <c r="D11" s="31" t="s">
        <v>27</v>
      </c>
      <c r="E11" s="32">
        <v>3007</v>
      </c>
      <c r="F11" s="32">
        <v>3597875</v>
      </c>
      <c r="G11" s="32">
        <v>7788</v>
      </c>
      <c r="H11" s="32">
        <v>3597875</v>
      </c>
      <c r="I11" s="32">
        <f t="shared" si="0"/>
        <v>0</v>
      </c>
      <c r="J11" s="33">
        <f t="shared" si="5"/>
        <v>15500</v>
      </c>
      <c r="K11" s="33">
        <f t="shared" si="1"/>
        <v>0</v>
      </c>
      <c r="L11" s="33">
        <f t="shared" si="2"/>
        <v>0</v>
      </c>
      <c r="M11" s="33">
        <f t="shared" si="3"/>
        <v>0</v>
      </c>
      <c r="N11" s="34">
        <f t="shared" si="4"/>
        <v>0</v>
      </c>
    </row>
    <row r="12" spans="1:15" x14ac:dyDescent="0.35">
      <c r="A12" s="28">
        <v>7</v>
      </c>
      <c r="B12" s="29" t="s">
        <v>28</v>
      </c>
      <c r="C12" s="30" t="s">
        <v>29</v>
      </c>
      <c r="D12" s="31" t="s">
        <v>30</v>
      </c>
      <c r="E12" s="32">
        <v>2943</v>
      </c>
      <c r="F12" s="32">
        <v>2220885</v>
      </c>
      <c r="G12" s="32">
        <v>8624</v>
      </c>
      <c r="H12" s="32">
        <f>25400+57645+45145+29284+19439+11132+2032840</f>
        <v>2220885</v>
      </c>
      <c r="I12" s="32">
        <v>0</v>
      </c>
      <c r="J12" s="33">
        <f t="shared" si="5"/>
        <v>15500</v>
      </c>
      <c r="K12" s="33">
        <f t="shared" si="1"/>
        <v>0</v>
      </c>
      <c r="L12" s="33">
        <f t="shared" si="2"/>
        <v>0</v>
      </c>
      <c r="M12" s="33">
        <f t="shared" si="3"/>
        <v>0</v>
      </c>
      <c r="N12" s="34">
        <f t="shared" si="4"/>
        <v>0</v>
      </c>
    </row>
    <row r="13" spans="1:15" x14ac:dyDescent="0.35">
      <c r="A13" s="28">
        <v>8</v>
      </c>
      <c r="B13" s="29" t="s">
        <v>31</v>
      </c>
      <c r="C13" s="30" t="s">
        <v>32</v>
      </c>
      <c r="D13" s="31" t="s">
        <v>33</v>
      </c>
      <c r="E13" s="32">
        <v>2951</v>
      </c>
      <c r="F13" s="32">
        <v>2027695</v>
      </c>
      <c r="G13" s="32">
        <v>9486</v>
      </c>
      <c r="H13" s="32">
        <f>134075+14596+7504+1871520</f>
        <v>2027695</v>
      </c>
      <c r="I13" s="32">
        <f t="shared" si="0"/>
        <v>0</v>
      </c>
      <c r="J13" s="33">
        <f t="shared" si="5"/>
        <v>15500</v>
      </c>
      <c r="K13" s="33">
        <f t="shared" si="1"/>
        <v>0</v>
      </c>
      <c r="L13" s="33">
        <f t="shared" si="2"/>
        <v>0</v>
      </c>
      <c r="M13" s="33">
        <f t="shared" si="3"/>
        <v>0</v>
      </c>
      <c r="N13" s="34">
        <f t="shared" si="4"/>
        <v>0</v>
      </c>
    </row>
    <row r="14" spans="1:15" x14ac:dyDescent="0.35">
      <c r="A14" s="28">
        <v>9</v>
      </c>
      <c r="B14" s="29" t="s">
        <v>34</v>
      </c>
      <c r="C14" s="30" t="s">
        <v>35</v>
      </c>
      <c r="D14" s="31" t="s">
        <v>36</v>
      </c>
      <c r="E14" s="32">
        <v>2830</v>
      </c>
      <c r="F14" s="32">
        <v>2349953</v>
      </c>
      <c r="G14" s="32">
        <v>9924</v>
      </c>
      <c r="H14" s="32">
        <f>38217+66208+42742+23852+13177+5+9056+2156696</f>
        <v>2349953</v>
      </c>
      <c r="I14" s="32">
        <f t="shared" si="0"/>
        <v>0</v>
      </c>
      <c r="J14" s="33">
        <f t="shared" si="5"/>
        <v>15500</v>
      </c>
      <c r="K14" s="33">
        <f t="shared" si="1"/>
        <v>0</v>
      </c>
      <c r="L14" s="33">
        <f t="shared" si="2"/>
        <v>0</v>
      </c>
      <c r="M14" s="33">
        <f t="shared" si="3"/>
        <v>0</v>
      </c>
      <c r="N14" s="34">
        <f t="shared" si="4"/>
        <v>0</v>
      </c>
    </row>
    <row r="15" spans="1:15" x14ac:dyDescent="0.35">
      <c r="A15" s="28">
        <v>10</v>
      </c>
      <c r="B15" s="29" t="s">
        <v>37</v>
      </c>
      <c r="C15" s="30" t="s">
        <v>38</v>
      </c>
      <c r="D15" s="31" t="s">
        <v>39</v>
      </c>
      <c r="E15" s="32">
        <v>2956</v>
      </c>
      <c r="F15" s="32">
        <v>264815</v>
      </c>
      <c r="G15" s="32">
        <v>12567</v>
      </c>
      <c r="H15" s="32">
        <f>1967+4697+3093+1621+794+470+252173</f>
        <v>264815</v>
      </c>
      <c r="I15" s="32">
        <f t="shared" si="0"/>
        <v>0</v>
      </c>
      <c r="J15" s="33">
        <f t="shared" si="5"/>
        <v>15500</v>
      </c>
      <c r="K15" s="33">
        <f t="shared" si="1"/>
        <v>0</v>
      </c>
      <c r="L15" s="33">
        <f t="shared" si="2"/>
        <v>0</v>
      </c>
      <c r="M15" s="33">
        <f t="shared" si="3"/>
        <v>0</v>
      </c>
      <c r="N15" s="34">
        <f t="shared" si="4"/>
        <v>0</v>
      </c>
    </row>
    <row r="16" spans="1:15" x14ac:dyDescent="0.35">
      <c r="A16" s="28">
        <v>11</v>
      </c>
      <c r="B16" s="29" t="s">
        <v>40</v>
      </c>
      <c r="C16" s="30" t="s">
        <v>41</v>
      </c>
      <c r="D16" s="31" t="s">
        <v>42</v>
      </c>
      <c r="E16" s="32">
        <v>2987</v>
      </c>
      <c r="F16" s="32">
        <v>378945</v>
      </c>
      <c r="G16" s="32">
        <v>12704</v>
      </c>
      <c r="H16" s="32">
        <f>2214+7594+5110+2769+1500+1288+358470</f>
        <v>378945</v>
      </c>
      <c r="I16" s="32">
        <f t="shared" si="0"/>
        <v>0</v>
      </c>
      <c r="J16" s="33">
        <f t="shared" si="5"/>
        <v>15500</v>
      </c>
      <c r="K16" s="33">
        <f t="shared" si="1"/>
        <v>0</v>
      </c>
      <c r="L16" s="33">
        <f t="shared" si="2"/>
        <v>0</v>
      </c>
      <c r="M16" s="33">
        <f t="shared" si="3"/>
        <v>0</v>
      </c>
      <c r="N16" s="34">
        <f t="shared" si="4"/>
        <v>0</v>
      </c>
    </row>
    <row r="17" spans="1:14" x14ac:dyDescent="0.35">
      <c r="A17" s="28">
        <v>12</v>
      </c>
      <c r="B17" s="29" t="s">
        <v>43</v>
      </c>
      <c r="C17" s="30" t="s">
        <v>44</v>
      </c>
      <c r="D17" s="31" t="s">
        <v>45</v>
      </c>
      <c r="E17" s="32">
        <v>2971</v>
      </c>
      <c r="F17" s="32">
        <v>174024</v>
      </c>
      <c r="G17" s="32">
        <v>11992</v>
      </c>
      <c r="H17" s="32">
        <f>1827+4145+2553+2019+939+989+161552</f>
        <v>174024</v>
      </c>
      <c r="I17" s="32">
        <f t="shared" si="0"/>
        <v>0</v>
      </c>
      <c r="J17" s="33">
        <f t="shared" si="5"/>
        <v>15500</v>
      </c>
      <c r="K17" s="33">
        <f t="shared" si="1"/>
        <v>0</v>
      </c>
      <c r="L17" s="33">
        <f t="shared" si="2"/>
        <v>0</v>
      </c>
      <c r="M17" s="33">
        <f t="shared" si="3"/>
        <v>0</v>
      </c>
      <c r="N17" s="34">
        <f t="shared" si="4"/>
        <v>0</v>
      </c>
    </row>
    <row r="18" spans="1:14" x14ac:dyDescent="0.35">
      <c r="A18" s="28">
        <v>13</v>
      </c>
      <c r="B18" s="29" t="s">
        <v>46</v>
      </c>
      <c r="C18" s="30" t="s">
        <v>47</v>
      </c>
      <c r="D18" s="31" t="s">
        <v>48</v>
      </c>
      <c r="E18" s="32">
        <v>2945</v>
      </c>
      <c r="F18" s="32">
        <v>153356</v>
      </c>
      <c r="G18" s="32">
        <v>12066</v>
      </c>
      <c r="H18" s="32">
        <f>1073+2973+1780+1109+464+1048+144909</f>
        <v>153356</v>
      </c>
      <c r="I18" s="32">
        <f t="shared" si="0"/>
        <v>0</v>
      </c>
      <c r="J18" s="33">
        <f t="shared" si="5"/>
        <v>15500</v>
      </c>
      <c r="K18" s="33">
        <f t="shared" si="1"/>
        <v>0</v>
      </c>
      <c r="L18" s="33">
        <f t="shared" si="2"/>
        <v>0</v>
      </c>
      <c r="M18" s="33">
        <f t="shared" si="3"/>
        <v>0</v>
      </c>
      <c r="N18" s="34">
        <f t="shared" si="4"/>
        <v>0</v>
      </c>
    </row>
    <row r="19" spans="1:14" x14ac:dyDescent="0.35">
      <c r="A19" s="28">
        <v>14</v>
      </c>
      <c r="B19" s="29" t="s">
        <v>49</v>
      </c>
      <c r="C19" s="30" t="s">
        <v>50</v>
      </c>
      <c r="D19" s="31" t="s">
        <v>51</v>
      </c>
      <c r="E19" s="32">
        <v>2934</v>
      </c>
      <c r="F19" s="32">
        <v>175121</v>
      </c>
      <c r="G19" s="32">
        <v>12350</v>
      </c>
      <c r="H19" s="32">
        <f>5364+1184+239+504+167830</f>
        <v>175121</v>
      </c>
      <c r="I19" s="32">
        <f t="shared" si="0"/>
        <v>0</v>
      </c>
      <c r="J19" s="33">
        <f t="shared" si="5"/>
        <v>15500</v>
      </c>
      <c r="K19" s="33">
        <f t="shared" si="1"/>
        <v>0</v>
      </c>
      <c r="L19" s="33">
        <f t="shared" si="2"/>
        <v>0</v>
      </c>
      <c r="M19" s="33">
        <f t="shared" si="3"/>
        <v>0</v>
      </c>
      <c r="N19" s="34">
        <f t="shared" si="4"/>
        <v>0</v>
      </c>
    </row>
    <row r="20" spans="1:14" x14ac:dyDescent="0.35">
      <c r="A20" s="28">
        <v>15</v>
      </c>
      <c r="B20" s="29" t="s">
        <v>52</v>
      </c>
      <c r="C20" s="30" t="s">
        <v>53</v>
      </c>
      <c r="D20" s="31" t="s">
        <v>54</v>
      </c>
      <c r="E20" s="32">
        <v>2961</v>
      </c>
      <c r="F20" s="32">
        <v>135666</v>
      </c>
      <c r="G20" s="32">
        <v>12300</v>
      </c>
      <c r="H20" s="32">
        <f>1244+2695+2258+1296+661+779+126733</f>
        <v>135666</v>
      </c>
      <c r="I20" s="32">
        <f t="shared" si="0"/>
        <v>0</v>
      </c>
      <c r="J20" s="33">
        <f t="shared" si="5"/>
        <v>15500</v>
      </c>
      <c r="K20" s="33">
        <f t="shared" si="1"/>
        <v>0</v>
      </c>
      <c r="L20" s="33">
        <f t="shared" si="2"/>
        <v>0</v>
      </c>
      <c r="M20" s="33">
        <f t="shared" si="3"/>
        <v>0</v>
      </c>
      <c r="N20" s="34">
        <f t="shared" si="4"/>
        <v>0</v>
      </c>
    </row>
    <row r="21" spans="1:14" x14ac:dyDescent="0.35">
      <c r="A21" s="28">
        <v>16</v>
      </c>
      <c r="B21" s="29" t="s">
        <v>55</v>
      </c>
      <c r="C21" s="30" t="s">
        <v>56</v>
      </c>
      <c r="D21" s="31" t="s">
        <v>57</v>
      </c>
      <c r="E21" s="32">
        <v>2964</v>
      </c>
      <c r="F21" s="32">
        <v>105512</v>
      </c>
      <c r="G21" s="32">
        <v>12484</v>
      </c>
      <c r="H21" s="32">
        <f>1072+2467+1076+683+448+254+99512</f>
        <v>105512</v>
      </c>
      <c r="I21" s="32">
        <f t="shared" si="0"/>
        <v>0</v>
      </c>
      <c r="J21" s="33">
        <f t="shared" si="5"/>
        <v>15500</v>
      </c>
      <c r="K21" s="33">
        <f t="shared" si="1"/>
        <v>0</v>
      </c>
      <c r="L21" s="33">
        <f t="shared" si="2"/>
        <v>0</v>
      </c>
      <c r="M21" s="33">
        <f t="shared" si="3"/>
        <v>0</v>
      </c>
      <c r="N21" s="34">
        <f t="shared" si="4"/>
        <v>0</v>
      </c>
    </row>
    <row r="22" spans="1:14" x14ac:dyDescent="0.35">
      <c r="A22" s="28">
        <v>17</v>
      </c>
      <c r="B22" s="29" t="s">
        <v>58</v>
      </c>
      <c r="C22" s="30" t="s">
        <v>59</v>
      </c>
      <c r="D22" s="31" t="s">
        <v>60</v>
      </c>
      <c r="E22" s="32">
        <v>2961</v>
      </c>
      <c r="F22" s="32">
        <v>107380</v>
      </c>
      <c r="G22" s="32">
        <v>12820</v>
      </c>
      <c r="H22" s="32">
        <f>544+2688+781 +490+289+239+102349</f>
        <v>107380</v>
      </c>
      <c r="I22" s="32">
        <f t="shared" si="0"/>
        <v>0</v>
      </c>
      <c r="J22" s="33">
        <f t="shared" si="5"/>
        <v>15500</v>
      </c>
      <c r="K22" s="33">
        <f t="shared" si="1"/>
        <v>0</v>
      </c>
      <c r="L22" s="33">
        <f t="shared" si="2"/>
        <v>0</v>
      </c>
      <c r="M22" s="33">
        <f t="shared" si="3"/>
        <v>0</v>
      </c>
      <c r="N22" s="34">
        <f t="shared" si="4"/>
        <v>0</v>
      </c>
    </row>
    <row r="23" spans="1:14" x14ac:dyDescent="0.35">
      <c r="A23" s="28">
        <v>18</v>
      </c>
      <c r="B23" s="29" t="s">
        <v>61</v>
      </c>
      <c r="C23" s="30" t="s">
        <v>62</v>
      </c>
      <c r="D23" s="31" t="s">
        <v>63</v>
      </c>
      <c r="E23" s="32">
        <v>2952</v>
      </c>
      <c r="F23" s="32">
        <v>81614</v>
      </c>
      <c r="G23" s="32">
        <v>12801</v>
      </c>
      <c r="H23" s="32">
        <f>1182+1731+440+338+429+357+77137</f>
        <v>81614</v>
      </c>
      <c r="I23" s="32">
        <f t="shared" si="0"/>
        <v>0</v>
      </c>
      <c r="J23" s="33">
        <f t="shared" si="5"/>
        <v>15500</v>
      </c>
      <c r="K23" s="33">
        <f t="shared" si="1"/>
        <v>0</v>
      </c>
      <c r="L23" s="33">
        <f t="shared" si="2"/>
        <v>0</v>
      </c>
      <c r="M23" s="33">
        <f t="shared" si="3"/>
        <v>0</v>
      </c>
      <c r="N23" s="34">
        <f t="shared" si="4"/>
        <v>0</v>
      </c>
    </row>
    <row r="24" spans="1:14" x14ac:dyDescent="0.35">
      <c r="A24" s="28">
        <v>19</v>
      </c>
      <c r="B24" s="29" t="s">
        <v>64</v>
      </c>
      <c r="C24" s="30" t="s">
        <v>65</v>
      </c>
      <c r="D24" s="31" t="s">
        <v>66</v>
      </c>
      <c r="E24" s="32">
        <v>2890</v>
      </c>
      <c r="F24" s="32">
        <v>111218</v>
      </c>
      <c r="G24" s="32">
        <v>13245</v>
      </c>
      <c r="H24" s="32">
        <f>1936+1910+583+1756+1108+615+103310</f>
        <v>111218</v>
      </c>
      <c r="I24" s="32">
        <f t="shared" si="0"/>
        <v>0</v>
      </c>
      <c r="J24" s="33">
        <f t="shared" si="5"/>
        <v>15500</v>
      </c>
      <c r="K24" s="33">
        <f t="shared" si="1"/>
        <v>0</v>
      </c>
      <c r="L24" s="33">
        <f t="shared" si="2"/>
        <v>0</v>
      </c>
      <c r="M24" s="33">
        <f t="shared" si="3"/>
        <v>0</v>
      </c>
      <c r="N24" s="34">
        <f t="shared" si="4"/>
        <v>0</v>
      </c>
    </row>
    <row r="25" spans="1:14" x14ac:dyDescent="0.35">
      <c r="A25" s="28">
        <v>20</v>
      </c>
      <c r="B25" s="29" t="s">
        <v>67</v>
      </c>
      <c r="C25" s="30" t="s">
        <v>68</v>
      </c>
      <c r="D25" s="31" t="s">
        <v>69</v>
      </c>
      <c r="E25" s="32">
        <v>2866</v>
      </c>
      <c r="F25" s="32">
        <v>131958</v>
      </c>
      <c r="G25" s="32">
        <v>13563</v>
      </c>
      <c r="H25" s="32">
        <f>1405+3041+988+917+961+672+123974</f>
        <v>131958</v>
      </c>
      <c r="I25" s="32">
        <f t="shared" si="0"/>
        <v>0</v>
      </c>
      <c r="J25" s="33">
        <f t="shared" si="5"/>
        <v>15500</v>
      </c>
      <c r="K25" s="33">
        <f t="shared" si="1"/>
        <v>0</v>
      </c>
      <c r="L25" s="33">
        <f t="shared" si="2"/>
        <v>0</v>
      </c>
      <c r="M25" s="33">
        <f t="shared" si="3"/>
        <v>0</v>
      </c>
      <c r="N25" s="34">
        <f t="shared" si="4"/>
        <v>0</v>
      </c>
    </row>
    <row r="26" spans="1:14" x14ac:dyDescent="0.35">
      <c r="A26" s="28">
        <v>21</v>
      </c>
      <c r="B26" s="29" t="s">
        <v>70</v>
      </c>
      <c r="C26" s="30" t="s">
        <v>71</v>
      </c>
      <c r="D26" s="31" t="s">
        <v>72</v>
      </c>
      <c r="E26" s="32">
        <v>2881</v>
      </c>
      <c r="F26" s="32">
        <v>327434</v>
      </c>
      <c r="G26" s="32">
        <v>13486</v>
      </c>
      <c r="H26" s="32">
        <f>3812+4284+2022+1258+693+1023+314342</f>
        <v>327434</v>
      </c>
      <c r="I26" s="32">
        <f t="shared" si="0"/>
        <v>0</v>
      </c>
      <c r="J26" s="33">
        <f t="shared" si="5"/>
        <v>15500</v>
      </c>
      <c r="K26" s="33">
        <f t="shared" si="1"/>
        <v>0</v>
      </c>
      <c r="L26" s="33">
        <f t="shared" si="2"/>
        <v>0</v>
      </c>
      <c r="M26" s="33">
        <f t="shared" si="3"/>
        <v>0</v>
      </c>
      <c r="N26" s="34">
        <f t="shared" si="4"/>
        <v>0</v>
      </c>
    </row>
    <row r="27" spans="1:14" x14ac:dyDescent="0.35">
      <c r="A27" s="28">
        <v>22</v>
      </c>
      <c r="B27" s="29" t="s">
        <v>73</v>
      </c>
      <c r="C27" s="30" t="s">
        <v>74</v>
      </c>
      <c r="D27" s="31" t="s">
        <v>75</v>
      </c>
      <c r="E27" s="32">
        <v>3114</v>
      </c>
      <c r="F27" s="32">
        <v>650337</v>
      </c>
      <c r="G27" s="32"/>
      <c r="H27" s="32">
        <f>8173+8885+5237+3384+4338+2241</f>
        <v>32258</v>
      </c>
      <c r="I27" s="32">
        <f t="shared" si="0"/>
        <v>618079</v>
      </c>
      <c r="J27" s="33">
        <f t="shared" si="5"/>
        <v>15500</v>
      </c>
      <c r="K27" s="33">
        <f t="shared" si="1"/>
        <v>192.46980060000001</v>
      </c>
      <c r="L27" s="33">
        <f t="shared" si="2"/>
        <v>958.02245000000005</v>
      </c>
      <c r="M27" s="33">
        <f t="shared" si="3"/>
        <v>765.55264940000006</v>
      </c>
      <c r="N27" s="34">
        <f t="shared" si="4"/>
        <v>99.521844422000015</v>
      </c>
    </row>
    <row r="28" spans="1:14" x14ac:dyDescent="0.35">
      <c r="A28" s="28">
        <v>23</v>
      </c>
      <c r="B28" s="29" t="s">
        <v>76</v>
      </c>
      <c r="C28" s="30" t="s">
        <v>77</v>
      </c>
      <c r="D28" s="31" t="s">
        <v>78</v>
      </c>
      <c r="E28" s="32">
        <v>3146</v>
      </c>
      <c r="F28" s="32">
        <v>312258</v>
      </c>
      <c r="G28" s="32"/>
      <c r="H28" s="32">
        <f>1793+4320+1887+1989+1422</f>
        <v>11411</v>
      </c>
      <c r="I28" s="32">
        <f t="shared" si="0"/>
        <v>300847</v>
      </c>
      <c r="J28" s="33">
        <f t="shared" si="5"/>
        <v>15500</v>
      </c>
      <c r="K28" s="33">
        <f t="shared" si="1"/>
        <v>94.646466200000006</v>
      </c>
      <c r="L28" s="33">
        <f t="shared" si="2"/>
        <v>466.31285000000003</v>
      </c>
      <c r="M28" s="33">
        <f t="shared" si="3"/>
        <v>371.66638380000001</v>
      </c>
      <c r="N28" s="34">
        <f t="shared" si="4"/>
        <v>48.316629894000002</v>
      </c>
    </row>
    <row r="29" spans="1:14" x14ac:dyDescent="0.35">
      <c r="A29" s="28">
        <v>24</v>
      </c>
      <c r="B29" s="29" t="s">
        <v>79</v>
      </c>
      <c r="C29" s="30" t="s">
        <v>80</v>
      </c>
      <c r="D29" s="35" t="s">
        <v>81</v>
      </c>
      <c r="E29" s="32">
        <v>3183</v>
      </c>
      <c r="F29" s="32">
        <v>409398</v>
      </c>
      <c r="G29" s="32"/>
      <c r="H29" s="32">
        <f>2437+4528+2597+3783+1890</f>
        <v>15235</v>
      </c>
      <c r="I29" s="32">
        <f t="shared" si="0"/>
        <v>394163</v>
      </c>
      <c r="J29" s="33">
        <f t="shared" si="5"/>
        <v>15500</v>
      </c>
      <c r="K29" s="33">
        <f t="shared" si="1"/>
        <v>125.4620829</v>
      </c>
      <c r="L29" s="33">
        <f t="shared" si="2"/>
        <v>610.95264999999995</v>
      </c>
      <c r="M29" s="33">
        <f t="shared" si="3"/>
        <v>485.49056709999996</v>
      </c>
      <c r="N29" s="34">
        <f t="shared" si="4"/>
        <v>63.113773722999994</v>
      </c>
    </row>
    <row r="30" spans="1:14" x14ac:dyDescent="0.35">
      <c r="A30" s="28">
        <v>25</v>
      </c>
      <c r="B30" s="29" t="s">
        <v>82</v>
      </c>
      <c r="C30" s="30" t="s">
        <v>83</v>
      </c>
      <c r="D30" s="35" t="s">
        <v>84</v>
      </c>
      <c r="E30" s="32">
        <v>3119</v>
      </c>
      <c r="F30" s="32">
        <v>207886</v>
      </c>
      <c r="G30" s="32"/>
      <c r="H30" s="32">
        <f>947+1215+944+1843+1021</f>
        <v>5970</v>
      </c>
      <c r="I30" s="32">
        <f t="shared" si="0"/>
        <v>201916</v>
      </c>
      <c r="J30" s="33">
        <f t="shared" si="5"/>
        <v>15500</v>
      </c>
      <c r="K30" s="33">
        <f t="shared" si="1"/>
        <v>62.9776004</v>
      </c>
      <c r="L30" s="33">
        <f t="shared" si="2"/>
        <v>312.96980000000002</v>
      </c>
      <c r="M30" s="33">
        <f t="shared" si="3"/>
        <v>249.99219960000002</v>
      </c>
      <c r="N30" s="34">
        <f t="shared" si="4"/>
        <v>32.498985948000005</v>
      </c>
    </row>
    <row r="31" spans="1:14" x14ac:dyDescent="0.35">
      <c r="A31" s="28">
        <v>26</v>
      </c>
      <c r="B31" s="29" t="s">
        <v>85</v>
      </c>
      <c r="C31" s="30" t="s">
        <v>86</v>
      </c>
      <c r="D31" s="35" t="s">
        <v>87</v>
      </c>
      <c r="E31" s="32">
        <v>3214</v>
      </c>
      <c r="F31" s="32">
        <v>243606</v>
      </c>
      <c r="G31" s="32"/>
      <c r="H31" s="32">
        <f xml:space="preserve"> 623+1370+1815+1022+981</f>
        <v>5811</v>
      </c>
      <c r="I31" s="32">
        <f t="shared" si="0"/>
        <v>237795</v>
      </c>
      <c r="J31" s="33">
        <f t="shared" si="5"/>
        <v>15500</v>
      </c>
      <c r="K31" s="33">
        <f t="shared" si="1"/>
        <v>76.427312999999998</v>
      </c>
      <c r="L31" s="33">
        <f t="shared" si="2"/>
        <v>368.58224999999999</v>
      </c>
      <c r="M31" s="33">
        <f t="shared" si="3"/>
        <v>292.15493700000002</v>
      </c>
      <c r="N31" s="34">
        <f t="shared" si="4"/>
        <v>37.980141810000006</v>
      </c>
    </row>
    <row r="32" spans="1:14" x14ac:dyDescent="0.35">
      <c r="A32" s="28">
        <v>27</v>
      </c>
      <c r="B32" s="29" t="s">
        <v>88</v>
      </c>
      <c r="C32" s="30" t="s">
        <v>89</v>
      </c>
      <c r="D32" s="35" t="s">
        <v>90</v>
      </c>
      <c r="E32" s="32">
        <v>3326</v>
      </c>
      <c r="F32" s="32">
        <v>207388</v>
      </c>
      <c r="G32" s="32"/>
      <c r="H32" s="32">
        <f>1478+1734+1590+1626</f>
        <v>6428</v>
      </c>
      <c r="I32" s="32">
        <f t="shared" si="0"/>
        <v>200960</v>
      </c>
      <c r="J32" s="33">
        <f t="shared" si="5"/>
        <v>15500</v>
      </c>
      <c r="K32" s="33">
        <f t="shared" si="1"/>
        <v>66.839296000000004</v>
      </c>
      <c r="L32" s="33">
        <f t="shared" si="2"/>
        <v>311.488</v>
      </c>
      <c r="M32" s="33">
        <f t="shared" si="3"/>
        <v>244.64870400000001</v>
      </c>
      <c r="N32" s="34">
        <f t="shared" si="4"/>
        <v>31.804331520000002</v>
      </c>
    </row>
    <row r="33" spans="1:15" x14ac:dyDescent="0.35">
      <c r="A33" s="28">
        <v>28</v>
      </c>
      <c r="B33" s="29" t="s">
        <v>91</v>
      </c>
      <c r="C33" s="30" t="s">
        <v>92</v>
      </c>
      <c r="D33" s="35" t="s">
        <v>93</v>
      </c>
      <c r="E33" s="32">
        <v>3196</v>
      </c>
      <c r="F33" s="32">
        <v>459789</v>
      </c>
      <c r="G33" s="32"/>
      <c r="H33" s="32">
        <f>1154+3500+3947+1917</f>
        <v>10518</v>
      </c>
      <c r="I33" s="32">
        <f t="shared" si="0"/>
        <v>449271</v>
      </c>
      <c r="J33" s="33">
        <f t="shared" si="5"/>
        <v>15500</v>
      </c>
      <c r="K33" s="33">
        <f t="shared" si="1"/>
        <v>143.58701160000001</v>
      </c>
      <c r="L33" s="33">
        <f t="shared" si="2"/>
        <v>696.37004999999999</v>
      </c>
      <c r="M33" s="33">
        <f t="shared" si="3"/>
        <v>552.78303840000001</v>
      </c>
      <c r="N33" s="34">
        <f t="shared" si="4"/>
        <v>71.861794992</v>
      </c>
    </row>
    <row r="34" spans="1:15" x14ac:dyDescent="0.35">
      <c r="A34" s="28">
        <v>29</v>
      </c>
      <c r="B34" s="29" t="s">
        <v>94</v>
      </c>
      <c r="C34" s="30" t="s">
        <v>95</v>
      </c>
      <c r="D34" s="35" t="s">
        <v>96</v>
      </c>
      <c r="E34" s="32">
        <v>3443</v>
      </c>
      <c r="F34" s="32">
        <v>535947</v>
      </c>
      <c r="G34" s="32"/>
      <c r="H34" s="32">
        <f>4817+6020+2987+3389</f>
        <v>17213</v>
      </c>
      <c r="I34" s="32">
        <f t="shared" si="0"/>
        <v>518734</v>
      </c>
      <c r="J34" s="33">
        <f t="shared" si="5"/>
        <v>15500</v>
      </c>
      <c r="K34" s="33">
        <f t="shared" si="1"/>
        <v>178.6001162</v>
      </c>
      <c r="L34" s="33">
        <f t="shared" si="2"/>
        <v>804.03769999999997</v>
      </c>
      <c r="M34" s="33">
        <f t="shared" si="3"/>
        <v>625.43758379999997</v>
      </c>
      <c r="N34" s="34">
        <f t="shared" si="4"/>
        <v>81.306885894000004</v>
      </c>
    </row>
    <row r="35" spans="1:15" x14ac:dyDescent="0.35">
      <c r="A35" s="28">
        <v>30</v>
      </c>
      <c r="B35" s="29" t="s">
        <v>97</v>
      </c>
      <c r="C35" s="30" t="s">
        <v>98</v>
      </c>
      <c r="D35" s="35" t="s">
        <v>99</v>
      </c>
      <c r="E35" s="32">
        <v>3499</v>
      </c>
      <c r="F35" s="32">
        <v>1024837</v>
      </c>
      <c r="G35" s="32"/>
      <c r="H35" s="32">
        <f>3573+6291+6116</f>
        <v>15980</v>
      </c>
      <c r="I35" s="32">
        <f t="shared" si="0"/>
        <v>1008857</v>
      </c>
      <c r="J35" s="33">
        <f t="shared" si="5"/>
        <v>15500</v>
      </c>
      <c r="K35" s="33">
        <f t="shared" si="1"/>
        <v>352.99906429999999</v>
      </c>
      <c r="L35" s="33">
        <f t="shared" si="2"/>
        <v>1563.7283500000001</v>
      </c>
      <c r="M35" s="33">
        <f t="shared" si="3"/>
        <v>1210.7292857000002</v>
      </c>
      <c r="N35" s="34">
        <f t="shared" si="4"/>
        <v>157.39480714100003</v>
      </c>
    </row>
    <row r="36" spans="1:15" x14ac:dyDescent="0.35">
      <c r="A36" s="28">
        <v>31</v>
      </c>
      <c r="B36" s="29" t="s">
        <v>100</v>
      </c>
      <c r="C36" s="30" t="s">
        <v>101</v>
      </c>
      <c r="D36" s="35" t="s">
        <v>102</v>
      </c>
      <c r="E36" s="32">
        <v>3890</v>
      </c>
      <c r="F36" s="32">
        <v>627892</v>
      </c>
      <c r="G36" s="32"/>
      <c r="H36" s="32">
        <f>1070+4903+2829</f>
        <v>8802</v>
      </c>
      <c r="I36" s="32">
        <f t="shared" si="0"/>
        <v>619090</v>
      </c>
      <c r="J36" s="33">
        <f t="shared" si="5"/>
        <v>15500</v>
      </c>
      <c r="K36" s="33">
        <f t="shared" si="1"/>
        <v>240.82601</v>
      </c>
      <c r="L36" s="33">
        <f t="shared" si="2"/>
        <v>959.58950000000004</v>
      </c>
      <c r="M36" s="33">
        <f t="shared" si="3"/>
        <v>718.76349000000005</v>
      </c>
      <c r="N36" s="34">
        <f t="shared" si="4"/>
        <v>93.439253700000009</v>
      </c>
      <c r="O36" s="10">
        <f>E36*1.25%</f>
        <v>48.625</v>
      </c>
    </row>
    <row r="37" spans="1:15" x14ac:dyDescent="0.35">
      <c r="A37" s="28">
        <v>32</v>
      </c>
      <c r="B37" s="29" t="s">
        <v>103</v>
      </c>
      <c r="C37" s="30" t="s">
        <v>104</v>
      </c>
      <c r="D37" s="35" t="s">
        <v>105</v>
      </c>
      <c r="E37" s="32">
        <v>3788</v>
      </c>
      <c r="F37" s="32">
        <v>455776</v>
      </c>
      <c r="G37" s="32"/>
      <c r="H37" s="32">
        <f>1133+3348+1513</f>
        <v>5994</v>
      </c>
      <c r="I37" s="32">
        <f t="shared" si="0"/>
        <v>449782</v>
      </c>
      <c r="J37" s="33">
        <f t="shared" si="5"/>
        <v>15500</v>
      </c>
      <c r="K37" s="33">
        <f t="shared" si="1"/>
        <v>170.37742159999999</v>
      </c>
      <c r="L37" s="33">
        <f t="shared" si="2"/>
        <v>697.16210000000001</v>
      </c>
      <c r="M37" s="33">
        <f t="shared" si="3"/>
        <v>526.78467840000008</v>
      </c>
      <c r="N37" s="34">
        <f t="shared" si="4"/>
        <v>68.482008192000009</v>
      </c>
    </row>
    <row r="38" spans="1:15" x14ac:dyDescent="0.35">
      <c r="A38" s="28">
        <v>33</v>
      </c>
      <c r="B38" s="29" t="s">
        <v>106</v>
      </c>
      <c r="C38" s="30" t="s">
        <v>107</v>
      </c>
      <c r="D38" s="35" t="s">
        <v>108</v>
      </c>
      <c r="E38" s="32">
        <v>3835</v>
      </c>
      <c r="F38" s="32">
        <v>693210</v>
      </c>
      <c r="G38" s="32"/>
      <c r="H38" s="32">
        <f>5700+7288+2010</f>
        <v>14998</v>
      </c>
      <c r="I38" s="32">
        <f t="shared" si="0"/>
        <v>678212</v>
      </c>
      <c r="J38" s="33">
        <f t="shared" si="5"/>
        <v>15500</v>
      </c>
      <c r="K38" s="33">
        <f t="shared" si="1"/>
        <v>260.09430200000003</v>
      </c>
      <c r="L38" s="33">
        <f t="shared" si="2"/>
        <v>1051.2285999999999</v>
      </c>
      <c r="M38" s="33">
        <f t="shared" si="3"/>
        <v>791.13429799999994</v>
      </c>
      <c r="N38" s="34">
        <f t="shared" si="4"/>
        <v>102.84745873999999</v>
      </c>
    </row>
    <row r="39" spans="1:15" x14ac:dyDescent="0.35">
      <c r="A39" s="28">
        <v>34</v>
      </c>
      <c r="B39" s="29" t="s">
        <v>109</v>
      </c>
      <c r="C39" s="30" t="s">
        <v>110</v>
      </c>
      <c r="D39" s="35" t="s">
        <v>111</v>
      </c>
      <c r="E39" s="32">
        <v>3795</v>
      </c>
      <c r="F39" s="32">
        <v>648304</v>
      </c>
      <c r="G39" s="32"/>
      <c r="H39" s="32">
        <f>2093+10328+6568</f>
        <v>18989</v>
      </c>
      <c r="I39" s="32">
        <f t="shared" si="0"/>
        <v>629315</v>
      </c>
      <c r="J39" s="33">
        <f t="shared" si="5"/>
        <v>15500</v>
      </c>
      <c r="K39" s="33">
        <f t="shared" si="1"/>
        <v>238.8250425</v>
      </c>
      <c r="L39" s="33">
        <f t="shared" si="2"/>
        <v>975.43825000000004</v>
      </c>
      <c r="M39" s="33">
        <f t="shared" si="3"/>
        <v>736.61320750000004</v>
      </c>
      <c r="N39" s="34">
        <f t="shared" si="4"/>
        <v>95.759716975000003</v>
      </c>
    </row>
    <row r="40" spans="1:15" x14ac:dyDescent="0.35">
      <c r="A40" s="28">
        <v>35</v>
      </c>
      <c r="B40" s="29" t="s">
        <v>112</v>
      </c>
      <c r="C40" s="30" t="s">
        <v>113</v>
      </c>
      <c r="D40" s="35" t="s">
        <v>114</v>
      </c>
      <c r="E40" s="32">
        <v>4016</v>
      </c>
      <c r="F40" s="32">
        <v>522119</v>
      </c>
      <c r="G40" s="32"/>
      <c r="H40" s="32">
        <f>906+3616+5322</f>
        <v>9844</v>
      </c>
      <c r="I40" s="32">
        <f t="shared" si="0"/>
        <v>512275</v>
      </c>
      <c r="J40" s="33">
        <f t="shared" si="5"/>
        <v>15500</v>
      </c>
      <c r="K40" s="33">
        <f t="shared" si="1"/>
        <v>205.72963999999999</v>
      </c>
      <c r="L40" s="33">
        <f t="shared" si="2"/>
        <v>794.02625</v>
      </c>
      <c r="M40" s="33">
        <f t="shared" si="3"/>
        <v>588.29660999999999</v>
      </c>
      <c r="N40" s="34">
        <f t="shared" si="4"/>
        <v>76.478559300000001</v>
      </c>
    </row>
    <row r="41" spans="1:15" x14ac:dyDescent="0.35">
      <c r="A41" s="28">
        <v>36</v>
      </c>
      <c r="B41" s="29" t="s">
        <v>115</v>
      </c>
      <c r="C41" s="30" t="s">
        <v>116</v>
      </c>
      <c r="D41" s="35" t="s">
        <v>117</v>
      </c>
      <c r="E41" s="32">
        <v>4070</v>
      </c>
      <c r="F41" s="32">
        <v>405957</v>
      </c>
      <c r="G41" s="32"/>
      <c r="H41" s="32">
        <f>1150+2484</f>
        <v>3634</v>
      </c>
      <c r="I41" s="32">
        <f t="shared" si="0"/>
        <v>402323</v>
      </c>
      <c r="J41" s="33">
        <f t="shared" si="5"/>
        <v>15500</v>
      </c>
      <c r="K41" s="33">
        <f t="shared" si="1"/>
        <v>163.74546100000001</v>
      </c>
      <c r="L41" s="33">
        <f t="shared" si="2"/>
        <v>623.60064999999997</v>
      </c>
      <c r="M41" s="33">
        <f t="shared" si="3"/>
        <v>459.855189</v>
      </c>
      <c r="N41" s="34">
        <f t="shared" si="4"/>
        <v>59.781174570000005</v>
      </c>
    </row>
    <row r="42" spans="1:15" x14ac:dyDescent="0.35">
      <c r="A42" s="28">
        <v>37</v>
      </c>
      <c r="B42" s="29" t="s">
        <v>118</v>
      </c>
      <c r="C42" s="30" t="s">
        <v>119</v>
      </c>
      <c r="D42" s="35" t="s">
        <v>120</v>
      </c>
      <c r="E42" s="32">
        <v>4260</v>
      </c>
      <c r="F42" s="32">
        <v>757338</v>
      </c>
      <c r="G42" s="32"/>
      <c r="H42" s="32">
        <f>1496+5137</f>
        <v>6633</v>
      </c>
      <c r="I42" s="32">
        <f t="shared" si="0"/>
        <v>750705</v>
      </c>
      <c r="J42" s="33">
        <f t="shared" si="5"/>
        <v>15500</v>
      </c>
      <c r="K42" s="33">
        <f t="shared" si="1"/>
        <v>319.80032999999997</v>
      </c>
      <c r="L42" s="33">
        <f t="shared" si="2"/>
        <v>1163.59275</v>
      </c>
      <c r="M42" s="33">
        <f t="shared" si="3"/>
        <v>843.79241999999999</v>
      </c>
      <c r="N42" s="34">
        <f t="shared" si="4"/>
        <v>109.6930146</v>
      </c>
      <c r="O42" s="10">
        <f>E42*1.25%</f>
        <v>53.25</v>
      </c>
    </row>
    <row r="43" spans="1:15" x14ac:dyDescent="0.35">
      <c r="A43" s="28">
        <v>38</v>
      </c>
      <c r="B43" s="29" t="s">
        <v>121</v>
      </c>
      <c r="C43" s="30" t="s">
        <v>122</v>
      </c>
      <c r="D43" s="35" t="s">
        <v>123</v>
      </c>
      <c r="E43" s="32">
        <v>4639</v>
      </c>
      <c r="F43" s="32">
        <v>1772874</v>
      </c>
      <c r="G43" s="32"/>
      <c r="H43" s="32">
        <f>11366+5056</f>
        <v>16422</v>
      </c>
      <c r="I43" s="32">
        <f>F43-H43</f>
        <v>1756452</v>
      </c>
      <c r="J43" s="33">
        <f t="shared" si="5"/>
        <v>15500</v>
      </c>
      <c r="K43" s="33">
        <f t="shared" si="1"/>
        <v>814.81808279999996</v>
      </c>
      <c r="L43" s="33">
        <f t="shared" si="2"/>
        <v>2722.5005999999998</v>
      </c>
      <c r="M43" s="33">
        <f t="shared" si="3"/>
        <v>1907.6825171999999</v>
      </c>
      <c r="N43" s="34">
        <f t="shared" si="4"/>
        <v>247.99872723600001</v>
      </c>
    </row>
    <row r="44" spans="1:15" x14ac:dyDescent="0.35">
      <c r="A44" s="28">
        <v>39</v>
      </c>
      <c r="B44" s="29" t="s">
        <v>124</v>
      </c>
      <c r="C44" s="30" t="s">
        <v>125</v>
      </c>
      <c r="D44" s="35" t="s">
        <v>126</v>
      </c>
      <c r="E44" s="32">
        <v>4590</v>
      </c>
      <c r="F44" s="32">
        <v>2544294</v>
      </c>
      <c r="G44" s="32"/>
      <c r="H44" s="32">
        <f>29994+8722</f>
        <v>38716</v>
      </c>
      <c r="I44" s="32">
        <f t="shared" si="0"/>
        <v>2505578</v>
      </c>
      <c r="J44" s="33">
        <f t="shared" si="5"/>
        <v>15500</v>
      </c>
      <c r="K44" s="33">
        <f t="shared" si="1"/>
        <v>1150.0603020000001</v>
      </c>
      <c r="L44" s="33">
        <f t="shared" si="2"/>
        <v>3883.6459</v>
      </c>
      <c r="M44" s="33">
        <f t="shared" si="3"/>
        <v>2733.5855979999997</v>
      </c>
      <c r="N44" s="34">
        <f t="shared" si="4"/>
        <v>355.36612773999997</v>
      </c>
    </row>
    <row r="45" spans="1:15" x14ac:dyDescent="0.35">
      <c r="A45" s="28">
        <v>40</v>
      </c>
      <c r="B45" s="29" t="s">
        <v>127</v>
      </c>
      <c r="C45" s="30" t="s">
        <v>128</v>
      </c>
      <c r="D45" s="35" t="s">
        <v>129</v>
      </c>
      <c r="E45" s="32">
        <v>4677</v>
      </c>
      <c r="F45" s="32">
        <v>2388328</v>
      </c>
      <c r="G45" s="32"/>
      <c r="H45" s="32">
        <f>11966+13021</f>
        <v>24987</v>
      </c>
      <c r="I45" s="32">
        <f t="shared" si="0"/>
        <v>2363341</v>
      </c>
      <c r="J45" s="33">
        <f t="shared" si="5"/>
        <v>15500</v>
      </c>
      <c r="K45" s="33">
        <f t="shared" si="1"/>
        <v>1105.3345856999999</v>
      </c>
      <c r="L45" s="33">
        <f t="shared" si="2"/>
        <v>3663.1785500000001</v>
      </c>
      <c r="M45" s="33">
        <f t="shared" si="3"/>
        <v>2557.8439643000002</v>
      </c>
      <c r="N45" s="34">
        <f t="shared" si="4"/>
        <v>332.51971535900003</v>
      </c>
    </row>
    <row r="46" spans="1:15" x14ac:dyDescent="0.35">
      <c r="A46" s="28">
        <v>41</v>
      </c>
      <c r="B46" s="29" t="s">
        <v>130</v>
      </c>
      <c r="C46" s="30" t="s">
        <v>131</v>
      </c>
      <c r="D46" s="35" t="s">
        <v>132</v>
      </c>
      <c r="E46" s="32">
        <v>4852</v>
      </c>
      <c r="F46" s="32">
        <v>4130820</v>
      </c>
      <c r="G46" s="32"/>
      <c r="H46" s="32">
        <f>20122+24060</f>
        <v>44182</v>
      </c>
      <c r="I46" s="32">
        <f t="shared" si="0"/>
        <v>4086638</v>
      </c>
      <c r="J46" s="33">
        <f t="shared" si="5"/>
        <v>15500</v>
      </c>
      <c r="K46" s="33">
        <f t="shared" si="1"/>
        <v>1982.8367576000001</v>
      </c>
      <c r="L46" s="33">
        <f t="shared" si="2"/>
        <v>6334.2888999999996</v>
      </c>
      <c r="M46" s="33">
        <f t="shared" si="3"/>
        <v>4351.4521423999995</v>
      </c>
      <c r="N46" s="34">
        <f t="shared" si="4"/>
        <v>565.688778512</v>
      </c>
    </row>
    <row r="47" spans="1:15" x14ac:dyDescent="0.35">
      <c r="A47" s="28">
        <v>42</v>
      </c>
      <c r="B47" s="29" t="s">
        <v>133</v>
      </c>
      <c r="C47" s="30" t="s">
        <v>134</v>
      </c>
      <c r="D47" s="35" t="s">
        <v>135</v>
      </c>
      <c r="E47" s="32">
        <v>5334</v>
      </c>
      <c r="F47" s="32">
        <v>6349781</v>
      </c>
      <c r="G47" s="32"/>
      <c r="H47" s="32">
        <f>24514</f>
        <v>24514</v>
      </c>
      <c r="I47" s="32">
        <f t="shared" si="0"/>
        <v>6325267</v>
      </c>
      <c r="J47" s="33">
        <f t="shared" si="5"/>
        <v>15500</v>
      </c>
      <c r="K47" s="33">
        <f t="shared" si="1"/>
        <v>3373.8974177999999</v>
      </c>
      <c r="L47" s="33">
        <f t="shared" si="2"/>
        <v>9804.1638500000008</v>
      </c>
      <c r="M47" s="33">
        <f t="shared" si="3"/>
        <v>6430.266432200001</v>
      </c>
      <c r="N47" s="34">
        <f t="shared" si="4"/>
        <v>835.93463618600015</v>
      </c>
    </row>
    <row r="48" spans="1:15" x14ac:dyDescent="0.35">
      <c r="A48" s="28">
        <v>43</v>
      </c>
      <c r="B48" s="29" t="s">
        <v>136</v>
      </c>
      <c r="C48" s="30" t="s">
        <v>137</v>
      </c>
      <c r="D48" s="35" t="s">
        <v>138</v>
      </c>
      <c r="E48" s="32">
        <v>5117</v>
      </c>
      <c r="F48" s="32">
        <v>3190133</v>
      </c>
      <c r="G48" s="32"/>
      <c r="H48" s="32">
        <f>9778</f>
        <v>9778</v>
      </c>
      <c r="I48" s="32">
        <f t="shared" si="0"/>
        <v>3180355</v>
      </c>
      <c r="J48" s="33">
        <f t="shared" si="5"/>
        <v>15500</v>
      </c>
      <c r="K48" s="33">
        <f t="shared" si="1"/>
        <v>1627.3876534999999</v>
      </c>
      <c r="L48" s="33">
        <f t="shared" si="2"/>
        <v>4929.5502500000002</v>
      </c>
      <c r="M48" s="33">
        <f t="shared" si="3"/>
        <v>3302.1625965000003</v>
      </c>
      <c r="N48" s="34">
        <f t="shared" si="4"/>
        <v>429.28113754500004</v>
      </c>
      <c r="O48" s="10">
        <f>E48*1.25%</f>
        <v>63.962500000000006</v>
      </c>
    </row>
    <row r="49" spans="1:15" x14ac:dyDescent="0.35">
      <c r="A49" s="28">
        <v>44</v>
      </c>
      <c r="B49" s="29" t="s">
        <v>139</v>
      </c>
      <c r="C49" s="30" t="s">
        <v>140</v>
      </c>
      <c r="D49" s="35" t="s">
        <v>141</v>
      </c>
      <c r="E49" s="32">
        <v>5051</v>
      </c>
      <c r="F49" s="32">
        <v>1859518</v>
      </c>
      <c r="G49" s="32"/>
      <c r="H49" s="32">
        <v>4962</v>
      </c>
      <c r="I49" s="32">
        <f t="shared" si="0"/>
        <v>1854556</v>
      </c>
      <c r="J49" s="33">
        <f t="shared" si="5"/>
        <v>15500</v>
      </c>
      <c r="K49" s="33">
        <f t="shared" si="1"/>
        <v>936.73623559999999</v>
      </c>
      <c r="L49" s="33">
        <f t="shared" si="2"/>
        <v>2874.5617999999999</v>
      </c>
      <c r="M49" s="33">
        <f t="shared" si="3"/>
        <v>1937.8255644000001</v>
      </c>
      <c r="N49" s="34">
        <f t="shared" si="4"/>
        <v>251.91732337200003</v>
      </c>
    </row>
    <row r="50" spans="1:15" x14ac:dyDescent="0.35">
      <c r="A50" s="28">
        <v>45</v>
      </c>
      <c r="B50" s="29" t="s">
        <v>142</v>
      </c>
      <c r="C50" s="30" t="s">
        <v>143</v>
      </c>
      <c r="D50" s="35" t="s">
        <v>144</v>
      </c>
      <c r="E50" s="32">
        <v>5177</v>
      </c>
      <c r="F50" s="32">
        <v>1573457</v>
      </c>
      <c r="G50" s="32"/>
      <c r="H50" s="32">
        <f>4090</f>
        <v>4090</v>
      </c>
      <c r="I50" s="32">
        <f t="shared" si="0"/>
        <v>1569367</v>
      </c>
      <c r="J50" s="33">
        <f t="shared" si="5"/>
        <v>15500</v>
      </c>
      <c r="K50" s="33">
        <f t="shared" si="1"/>
        <v>812.46129589999998</v>
      </c>
      <c r="L50" s="33">
        <f t="shared" si="2"/>
        <v>2432.5188499999999</v>
      </c>
      <c r="M50" s="33">
        <f t="shared" si="3"/>
        <v>1620.0575540999998</v>
      </c>
      <c r="N50" s="34">
        <f t="shared" si="4"/>
        <v>210.607482033</v>
      </c>
    </row>
    <row r="51" spans="1:15" x14ac:dyDescent="0.35">
      <c r="A51" s="28">
        <v>46</v>
      </c>
      <c r="B51" s="29" t="s">
        <v>145</v>
      </c>
      <c r="C51" s="30" t="s">
        <v>146</v>
      </c>
      <c r="D51" s="35" t="s">
        <v>147</v>
      </c>
      <c r="E51" s="32">
        <v>5000</v>
      </c>
      <c r="F51" s="32">
        <v>2869886</v>
      </c>
      <c r="G51" s="32"/>
      <c r="H51" s="32">
        <f>5228</f>
        <v>5228</v>
      </c>
      <c r="I51" s="32">
        <f t="shared" si="0"/>
        <v>2864658</v>
      </c>
      <c r="J51" s="33">
        <f t="shared" si="5"/>
        <v>15500</v>
      </c>
      <c r="K51" s="33">
        <f t="shared" si="1"/>
        <v>1432.329</v>
      </c>
      <c r="L51" s="33">
        <f t="shared" si="2"/>
        <v>4440.2199000000001</v>
      </c>
      <c r="M51" s="33">
        <f t="shared" si="3"/>
        <v>3007.8909000000003</v>
      </c>
      <c r="N51" s="34">
        <f t="shared" si="4"/>
        <v>391.02581700000007</v>
      </c>
    </row>
    <row r="52" spans="1:15" x14ac:dyDescent="0.35">
      <c r="A52" s="28">
        <v>47</v>
      </c>
      <c r="B52" s="29" t="s">
        <v>148</v>
      </c>
      <c r="C52" s="30" t="s">
        <v>149</v>
      </c>
      <c r="D52" s="35" t="s">
        <v>150</v>
      </c>
      <c r="E52" s="32">
        <v>5104</v>
      </c>
      <c r="F52" s="32">
        <v>1214048</v>
      </c>
      <c r="G52" s="32"/>
      <c r="H52" s="32">
        <v>3343</v>
      </c>
      <c r="I52" s="32">
        <f t="shared" si="0"/>
        <v>1210705</v>
      </c>
      <c r="J52" s="33">
        <f t="shared" si="5"/>
        <v>15500</v>
      </c>
      <c r="K52" s="33">
        <f t="shared" si="1"/>
        <v>617.94383200000004</v>
      </c>
      <c r="L52" s="33">
        <f t="shared" si="2"/>
        <v>1876.59275</v>
      </c>
      <c r="M52" s="33">
        <f t="shared" si="3"/>
        <v>1258.6489179999999</v>
      </c>
      <c r="N52" s="34">
        <f t="shared" si="4"/>
        <v>163.62435933999998</v>
      </c>
    </row>
    <row r="53" spans="1:15" x14ac:dyDescent="0.35">
      <c r="A53" s="28">
        <v>48</v>
      </c>
      <c r="B53" s="29" t="s">
        <v>151</v>
      </c>
      <c r="C53" s="30" t="s">
        <v>152</v>
      </c>
      <c r="D53" s="35" t="s">
        <v>153</v>
      </c>
      <c r="E53" s="32">
        <v>4912</v>
      </c>
      <c r="F53" s="32">
        <v>1227915</v>
      </c>
      <c r="G53" s="32"/>
      <c r="H53" s="32"/>
      <c r="I53" s="32">
        <f t="shared" si="0"/>
        <v>1227915</v>
      </c>
      <c r="J53" s="33">
        <f t="shared" si="5"/>
        <v>15500</v>
      </c>
      <c r="K53" s="33">
        <f t="shared" si="1"/>
        <v>603.15184799999997</v>
      </c>
      <c r="L53" s="33">
        <f t="shared" si="2"/>
        <v>1903.2682500000001</v>
      </c>
      <c r="M53" s="33">
        <f t="shared" si="3"/>
        <v>1300.1164020000001</v>
      </c>
      <c r="N53" s="34">
        <f t="shared" si="4"/>
        <v>169.01513226000003</v>
      </c>
    </row>
    <row r="54" spans="1:15" x14ac:dyDescent="0.35">
      <c r="A54" s="28">
        <v>49</v>
      </c>
      <c r="B54" s="29" t="s">
        <v>154</v>
      </c>
      <c r="C54" s="30" t="s">
        <v>155</v>
      </c>
      <c r="D54" s="35" t="s">
        <v>156</v>
      </c>
      <c r="E54" s="32">
        <v>4662</v>
      </c>
      <c r="F54" s="32">
        <v>3230907</v>
      </c>
      <c r="G54" s="32"/>
      <c r="H54" s="32"/>
      <c r="I54" s="32">
        <f t="shared" si="0"/>
        <v>3230907</v>
      </c>
      <c r="J54" s="33">
        <f t="shared" si="5"/>
        <v>15500</v>
      </c>
      <c r="K54" s="33">
        <f t="shared" si="1"/>
        <v>1506.2488433999999</v>
      </c>
      <c r="L54" s="33">
        <f t="shared" si="2"/>
        <v>5007.9058500000001</v>
      </c>
      <c r="M54" s="33">
        <f t="shared" si="3"/>
        <v>3501.6570066000004</v>
      </c>
      <c r="N54" s="34">
        <f t="shared" si="4"/>
        <v>455.21541085800004</v>
      </c>
      <c r="O54" s="10">
        <f>E54*1.25%</f>
        <v>58.275000000000006</v>
      </c>
    </row>
    <row r="55" spans="1:15" x14ac:dyDescent="0.35">
      <c r="A55" s="28">
        <v>50</v>
      </c>
      <c r="B55" s="29" t="s">
        <v>157</v>
      </c>
      <c r="C55" s="30" t="s">
        <v>158</v>
      </c>
      <c r="D55" s="35" t="s">
        <v>159</v>
      </c>
      <c r="E55" s="32">
        <v>4777</v>
      </c>
      <c r="F55" s="32">
        <v>5318973</v>
      </c>
      <c r="G55" s="32"/>
      <c r="H55" s="32"/>
      <c r="I55" s="32">
        <f t="shared" si="0"/>
        <v>5318973</v>
      </c>
      <c r="J55" s="33">
        <f t="shared" si="5"/>
        <v>15500</v>
      </c>
      <c r="K55" s="33">
        <f t="shared" si="1"/>
        <v>2540.8734021</v>
      </c>
      <c r="L55" s="33">
        <f t="shared" si="2"/>
        <v>8244.4081499999993</v>
      </c>
      <c r="M55" s="33">
        <f t="shared" si="3"/>
        <v>5703.5347478999993</v>
      </c>
      <c r="N55" s="34">
        <f t="shared" si="4"/>
        <v>741.45951722699988</v>
      </c>
    </row>
    <row r="56" spans="1:15" x14ac:dyDescent="0.35">
      <c r="A56" s="28">
        <v>51</v>
      </c>
      <c r="B56" s="29" t="s">
        <v>160</v>
      </c>
      <c r="C56" s="30" t="s">
        <v>161</v>
      </c>
      <c r="D56" s="35" t="s">
        <v>162</v>
      </c>
      <c r="E56" s="32">
        <v>4842</v>
      </c>
      <c r="F56" s="32">
        <v>1898475</v>
      </c>
      <c r="G56" s="32"/>
      <c r="H56" s="32"/>
      <c r="I56" s="32">
        <f t="shared" si="0"/>
        <v>1898475</v>
      </c>
      <c r="J56" s="33">
        <f t="shared" si="5"/>
        <v>15500</v>
      </c>
      <c r="K56" s="33">
        <f t="shared" si="1"/>
        <v>919.24159499999996</v>
      </c>
      <c r="L56" s="33">
        <f t="shared" si="2"/>
        <v>2942.63625</v>
      </c>
      <c r="M56" s="33">
        <f t="shared" si="3"/>
        <v>2023.3946550000001</v>
      </c>
      <c r="N56" s="34">
        <f t="shared" si="4"/>
        <v>263.04130515000003</v>
      </c>
    </row>
    <row r="57" spans="1:15" x14ac:dyDescent="0.35">
      <c r="A57" s="28">
        <v>52</v>
      </c>
      <c r="B57" s="29" t="s">
        <v>163</v>
      </c>
      <c r="C57" s="30" t="s">
        <v>164</v>
      </c>
      <c r="D57" s="35" t="s">
        <v>165</v>
      </c>
      <c r="E57" s="32">
        <v>4889</v>
      </c>
      <c r="F57" s="32">
        <v>1479232</v>
      </c>
      <c r="G57" s="32"/>
      <c r="H57" s="32"/>
      <c r="I57" s="32">
        <f t="shared" si="0"/>
        <v>1479232</v>
      </c>
      <c r="J57" s="33">
        <f t="shared" si="5"/>
        <v>15500</v>
      </c>
      <c r="K57" s="33">
        <f t="shared" si="1"/>
        <v>723.19652480000002</v>
      </c>
      <c r="L57" s="33">
        <f t="shared" si="2"/>
        <v>2292.8096</v>
      </c>
      <c r="M57" s="33">
        <f t="shared" si="3"/>
        <v>1569.6130751999999</v>
      </c>
      <c r="N57" s="34">
        <f t="shared" si="4"/>
        <v>204.04969977599998</v>
      </c>
    </row>
    <row r="58" spans="1:15" x14ac:dyDescent="0.35">
      <c r="A58" s="28">
        <v>53</v>
      </c>
      <c r="B58" s="29" t="s">
        <v>166</v>
      </c>
      <c r="C58" s="28" t="s">
        <v>167</v>
      </c>
      <c r="D58" s="35" t="s">
        <v>168</v>
      </c>
      <c r="E58" s="32">
        <v>4807</v>
      </c>
      <c r="F58" s="32">
        <v>2923762</v>
      </c>
      <c r="G58" s="32"/>
      <c r="H58" s="32"/>
      <c r="I58" s="32">
        <f t="shared" si="0"/>
        <v>2923762</v>
      </c>
      <c r="J58" s="33">
        <f t="shared" si="5"/>
        <v>15500</v>
      </c>
      <c r="K58" s="33">
        <f t="shared" si="1"/>
        <v>1405.4523933999999</v>
      </c>
      <c r="L58" s="33">
        <f t="shared" si="2"/>
        <v>4531.8311000000003</v>
      </c>
      <c r="M58" s="33">
        <f t="shared" si="3"/>
        <v>3126.3787066000004</v>
      </c>
      <c r="N58" s="34">
        <f t="shared" si="4"/>
        <v>406.42923185800009</v>
      </c>
    </row>
    <row r="59" spans="1:15" x14ac:dyDescent="0.35">
      <c r="A59" s="28">
        <v>54</v>
      </c>
      <c r="B59" s="29" t="s">
        <v>169</v>
      </c>
      <c r="C59" s="28" t="s">
        <v>170</v>
      </c>
      <c r="D59" s="35" t="s">
        <v>171</v>
      </c>
      <c r="E59" s="32">
        <v>4790</v>
      </c>
      <c r="F59" s="32">
        <v>2292743</v>
      </c>
      <c r="G59" s="32"/>
      <c r="H59" s="32"/>
      <c r="I59" s="32">
        <f t="shared" si="0"/>
        <v>2292743</v>
      </c>
      <c r="J59" s="33">
        <f t="shared" si="5"/>
        <v>15500</v>
      </c>
      <c r="K59" s="33">
        <f t="shared" si="1"/>
        <v>1098.2238970000001</v>
      </c>
      <c r="L59" s="33">
        <f t="shared" si="2"/>
        <v>3553.7516500000002</v>
      </c>
      <c r="M59" s="33">
        <f t="shared" si="3"/>
        <v>2455.5277530000003</v>
      </c>
      <c r="N59" s="34">
        <f t="shared" si="4"/>
        <v>319.21860789000004</v>
      </c>
    </row>
    <row r="60" spans="1:15" x14ac:dyDescent="0.35">
      <c r="A60" s="28">
        <v>55</v>
      </c>
      <c r="B60" s="29" t="s">
        <v>172</v>
      </c>
      <c r="C60" s="28" t="s">
        <v>173</v>
      </c>
      <c r="D60" s="35" t="s">
        <v>174</v>
      </c>
      <c r="E60" s="32">
        <v>4732</v>
      </c>
      <c r="F60" s="32">
        <v>3520341</v>
      </c>
      <c r="G60" s="32"/>
      <c r="H60" s="32"/>
      <c r="I60" s="32">
        <f t="shared" si="0"/>
        <v>3520341</v>
      </c>
      <c r="J60" s="33">
        <f t="shared" si="5"/>
        <v>15500</v>
      </c>
      <c r="K60" s="33">
        <f t="shared" si="1"/>
        <v>1665.8253612000001</v>
      </c>
      <c r="L60" s="33">
        <f t="shared" si="2"/>
        <v>5456.52855</v>
      </c>
      <c r="M60" s="33">
        <f t="shared" si="3"/>
        <v>3790.7031888000001</v>
      </c>
      <c r="N60" s="34">
        <f t="shared" si="4"/>
        <v>492.79141454400002</v>
      </c>
    </row>
    <row r="61" spans="1:15" x14ac:dyDescent="0.35">
      <c r="A61" s="28">
        <v>56</v>
      </c>
      <c r="B61" s="29" t="s">
        <v>175</v>
      </c>
      <c r="C61" s="28" t="s">
        <v>176</v>
      </c>
      <c r="D61" s="35" t="s">
        <v>177</v>
      </c>
      <c r="E61" s="32">
        <v>4761</v>
      </c>
      <c r="F61" s="32">
        <v>3248238</v>
      </c>
      <c r="G61" s="32"/>
      <c r="H61" s="32"/>
      <c r="I61" s="32">
        <f t="shared" si="0"/>
        <v>3248238</v>
      </c>
      <c r="J61" s="33">
        <f t="shared" si="5"/>
        <v>15500</v>
      </c>
      <c r="K61" s="33">
        <f t="shared" si="1"/>
        <v>1546.4861117999999</v>
      </c>
      <c r="L61" s="33">
        <f t="shared" si="2"/>
        <v>5034.7689</v>
      </c>
      <c r="M61" s="33">
        <f t="shared" si="3"/>
        <v>3488.2827882000001</v>
      </c>
      <c r="N61" s="34">
        <f t="shared" si="4"/>
        <v>453.47676246600003</v>
      </c>
    </row>
    <row r="62" spans="1:15" x14ac:dyDescent="0.35">
      <c r="A62" s="28">
        <v>57</v>
      </c>
      <c r="B62" s="29" t="s">
        <v>178</v>
      </c>
      <c r="C62" s="28" t="s">
        <v>179</v>
      </c>
      <c r="D62" s="35" t="s">
        <v>180</v>
      </c>
      <c r="E62" s="32">
        <v>4791</v>
      </c>
      <c r="F62" s="32">
        <v>2480493</v>
      </c>
      <c r="G62" s="32"/>
      <c r="H62" s="32"/>
      <c r="I62" s="32">
        <f t="shared" si="0"/>
        <v>2480493</v>
      </c>
      <c r="J62" s="33">
        <f t="shared" si="5"/>
        <v>15500</v>
      </c>
      <c r="K62" s="33">
        <f t="shared" si="1"/>
        <v>1188.4041963</v>
      </c>
      <c r="L62" s="33">
        <f t="shared" si="2"/>
        <v>3844.76415</v>
      </c>
      <c r="M62" s="33">
        <f t="shared" si="3"/>
        <v>2656.3599537</v>
      </c>
      <c r="N62" s="34">
        <f t="shared" si="4"/>
        <v>345.32679398100004</v>
      </c>
    </row>
    <row r="63" spans="1:15" x14ac:dyDescent="0.35">
      <c r="A63" s="28">
        <v>58</v>
      </c>
      <c r="B63" s="29" t="s">
        <v>181</v>
      </c>
      <c r="C63" s="28" t="s">
        <v>182</v>
      </c>
      <c r="D63" s="35" t="s">
        <v>183</v>
      </c>
      <c r="E63" s="32">
        <v>4786</v>
      </c>
      <c r="F63" s="32">
        <v>2333188</v>
      </c>
      <c r="G63" s="32"/>
      <c r="H63" s="32"/>
      <c r="I63" s="32">
        <f t="shared" si="0"/>
        <v>2333188</v>
      </c>
      <c r="J63" s="33">
        <f t="shared" si="5"/>
        <v>15500</v>
      </c>
      <c r="K63" s="33">
        <f t="shared" si="1"/>
        <v>1116.6637768000001</v>
      </c>
      <c r="L63" s="33">
        <f t="shared" si="2"/>
        <v>3616.4414000000002</v>
      </c>
      <c r="M63" s="33">
        <f t="shared" si="3"/>
        <v>2499.7776232000001</v>
      </c>
      <c r="N63" s="34">
        <f t="shared" si="4"/>
        <v>324.971091016</v>
      </c>
    </row>
    <row r="64" spans="1:15" x14ac:dyDescent="0.35">
      <c r="A64" s="28">
        <v>59</v>
      </c>
      <c r="B64" s="29" t="s">
        <v>184</v>
      </c>
      <c r="C64" s="28" t="s">
        <v>185</v>
      </c>
      <c r="D64" s="35" t="s">
        <v>186</v>
      </c>
      <c r="E64" s="32">
        <v>5109</v>
      </c>
      <c r="F64" s="32">
        <v>1539694</v>
      </c>
      <c r="G64" s="32"/>
      <c r="H64" s="32"/>
      <c r="I64" s="32">
        <f t="shared" si="0"/>
        <v>1539694</v>
      </c>
      <c r="J64" s="33">
        <f t="shared" si="5"/>
        <v>15500</v>
      </c>
      <c r="K64" s="33">
        <f t="shared" si="1"/>
        <v>786.62966459999996</v>
      </c>
      <c r="L64" s="33">
        <f t="shared" si="2"/>
        <v>2386.5257000000001</v>
      </c>
      <c r="M64" s="33">
        <f t="shared" si="3"/>
        <v>1599.8960354000001</v>
      </c>
      <c r="N64" s="34">
        <f t="shared" si="4"/>
        <v>207.98648460200002</v>
      </c>
    </row>
    <row r="65" spans="1:15" x14ac:dyDescent="0.35">
      <c r="A65" s="28">
        <v>60</v>
      </c>
      <c r="B65" s="29" t="s">
        <v>187</v>
      </c>
      <c r="C65" s="28" t="s">
        <v>188</v>
      </c>
      <c r="D65" s="35" t="s">
        <v>189</v>
      </c>
      <c r="E65" s="32">
        <v>5091</v>
      </c>
      <c r="F65" s="32">
        <v>2557864</v>
      </c>
      <c r="G65" s="32"/>
      <c r="H65" s="32"/>
      <c r="I65" s="32">
        <f t="shared" si="0"/>
        <v>2557864</v>
      </c>
      <c r="J65" s="33">
        <f t="shared" si="5"/>
        <v>15500</v>
      </c>
      <c r="K65" s="33">
        <f t="shared" si="1"/>
        <v>1302.2085623999999</v>
      </c>
      <c r="L65" s="33">
        <f t="shared" si="2"/>
        <v>3964.6891999999998</v>
      </c>
      <c r="M65" s="33">
        <f t="shared" si="3"/>
        <v>2662.4806375999997</v>
      </c>
      <c r="N65" s="34">
        <f t="shared" si="4"/>
        <v>346.12248288799998</v>
      </c>
    </row>
    <row r="66" spans="1:15" x14ac:dyDescent="0.35">
      <c r="A66" s="28">
        <v>61</v>
      </c>
      <c r="B66" s="29" t="s">
        <v>190</v>
      </c>
      <c r="C66" s="28" t="s">
        <v>191</v>
      </c>
      <c r="D66" s="35" t="s">
        <v>192</v>
      </c>
      <c r="E66" s="32">
        <v>5197</v>
      </c>
      <c r="F66" s="32">
        <v>3360408</v>
      </c>
      <c r="G66" s="32"/>
      <c r="H66" s="32"/>
      <c r="I66" s="32">
        <f t="shared" si="0"/>
        <v>3360408</v>
      </c>
      <c r="J66" s="33">
        <f t="shared" si="5"/>
        <v>15500</v>
      </c>
      <c r="K66" s="33">
        <f t="shared" si="1"/>
        <v>1746.4040376</v>
      </c>
      <c r="L66" s="33">
        <f t="shared" si="2"/>
        <v>5208.6324000000004</v>
      </c>
      <c r="M66" s="33">
        <f t="shared" si="3"/>
        <v>3462.2283624000002</v>
      </c>
      <c r="N66" s="34">
        <f t="shared" si="4"/>
        <v>450.08968711200004</v>
      </c>
    </row>
    <row r="67" spans="1:15" x14ac:dyDescent="0.35">
      <c r="A67" s="28">
        <v>62</v>
      </c>
      <c r="B67" s="29" t="s">
        <v>193</v>
      </c>
      <c r="C67" s="28" t="s">
        <v>194</v>
      </c>
      <c r="D67" s="35" t="s">
        <v>195</v>
      </c>
      <c r="E67" s="32">
        <v>5409</v>
      </c>
      <c r="F67" s="32">
        <v>2811010</v>
      </c>
      <c r="G67" s="32"/>
      <c r="H67" s="32"/>
      <c r="I67" s="32">
        <f t="shared" si="0"/>
        <v>2811010</v>
      </c>
      <c r="J67" s="33">
        <f t="shared" si="5"/>
        <v>15500</v>
      </c>
      <c r="K67" s="33">
        <f t="shared" si="1"/>
        <v>1520.4753089999999</v>
      </c>
      <c r="L67" s="33">
        <f t="shared" si="2"/>
        <v>4357.0654999999997</v>
      </c>
      <c r="M67" s="33">
        <f t="shared" si="3"/>
        <v>2836.5901909999998</v>
      </c>
      <c r="N67" s="34">
        <f t="shared" si="4"/>
        <v>368.75672483</v>
      </c>
    </row>
    <row r="68" spans="1:15" x14ac:dyDescent="0.35">
      <c r="A68" s="28">
        <v>63</v>
      </c>
      <c r="B68" s="29" t="s">
        <v>196</v>
      </c>
      <c r="C68" s="28" t="s">
        <v>197</v>
      </c>
      <c r="D68" s="36" t="s">
        <v>198</v>
      </c>
      <c r="E68" s="32">
        <v>5611</v>
      </c>
      <c r="F68" s="32">
        <v>3531586</v>
      </c>
      <c r="G68" s="32"/>
      <c r="H68" s="32"/>
      <c r="I68" s="32">
        <f t="shared" si="0"/>
        <v>3531586</v>
      </c>
      <c r="J68" s="33">
        <f t="shared" si="5"/>
        <v>15500</v>
      </c>
      <c r="K68" s="33">
        <f t="shared" si="1"/>
        <v>1981.5729045999999</v>
      </c>
      <c r="L68" s="33">
        <f t="shared" si="2"/>
        <v>5473.9583000000002</v>
      </c>
      <c r="M68" s="33">
        <f t="shared" si="3"/>
        <v>3492.3853954000006</v>
      </c>
      <c r="N68" s="34">
        <f t="shared" si="4"/>
        <v>454.01010140200009</v>
      </c>
    </row>
    <row r="69" spans="1:15" x14ac:dyDescent="0.35">
      <c r="A69" s="28">
        <v>64</v>
      </c>
      <c r="B69" s="29" t="s">
        <v>199</v>
      </c>
      <c r="C69" s="28" t="s">
        <v>200</v>
      </c>
      <c r="D69" s="36" t="s">
        <v>201</v>
      </c>
      <c r="E69" s="32">
        <v>5926</v>
      </c>
      <c r="F69" s="32">
        <v>7769290</v>
      </c>
      <c r="G69" s="32"/>
      <c r="H69" s="32"/>
      <c r="I69" s="32">
        <f t="shared" si="0"/>
        <v>7769290</v>
      </c>
      <c r="J69" s="33">
        <f t="shared" si="5"/>
        <v>15500</v>
      </c>
      <c r="K69" s="33">
        <f t="shared" si="1"/>
        <v>4604.0812539999997</v>
      </c>
      <c r="L69" s="33">
        <f t="shared" si="2"/>
        <v>12042.3995</v>
      </c>
      <c r="M69" s="33">
        <f t="shared" si="3"/>
        <v>7438.3182459999998</v>
      </c>
      <c r="N69" s="34">
        <f t="shared" si="4"/>
        <v>966.98137198000006</v>
      </c>
    </row>
    <row r="70" spans="1:15" x14ac:dyDescent="0.35">
      <c r="A70" s="28">
        <v>65</v>
      </c>
      <c r="B70" s="29" t="s">
        <v>202</v>
      </c>
      <c r="C70" s="28" t="s">
        <v>203</v>
      </c>
      <c r="D70" s="36" t="s">
        <v>204</v>
      </c>
      <c r="E70" s="32">
        <v>5923</v>
      </c>
      <c r="F70" s="32">
        <v>11673960</v>
      </c>
      <c r="G70" s="32"/>
      <c r="H70" s="32"/>
      <c r="I70" s="32">
        <f t="shared" si="0"/>
        <v>11673960</v>
      </c>
      <c r="J70" s="33">
        <f t="shared" si="5"/>
        <v>15500</v>
      </c>
      <c r="K70" s="33">
        <f t="shared" si="1"/>
        <v>6914.486508</v>
      </c>
      <c r="L70" s="33">
        <f t="shared" si="2"/>
        <v>18094.637999999999</v>
      </c>
      <c r="M70" s="33">
        <f t="shared" si="3"/>
        <v>11180.151491999999</v>
      </c>
      <c r="N70" s="34">
        <f t="shared" si="4"/>
        <v>1453.4196939599999</v>
      </c>
    </row>
    <row r="71" spans="1:15" x14ac:dyDescent="0.35">
      <c r="A71" s="28">
        <v>66</v>
      </c>
      <c r="B71" s="29" t="s">
        <v>205</v>
      </c>
      <c r="C71" s="28" t="s">
        <v>206</v>
      </c>
      <c r="D71" s="36" t="s">
        <v>207</v>
      </c>
      <c r="E71" s="32">
        <v>6199</v>
      </c>
      <c r="F71" s="32">
        <v>12106807</v>
      </c>
      <c r="G71" s="32"/>
      <c r="H71" s="32"/>
      <c r="I71" s="32">
        <f t="shared" si="0"/>
        <v>12106807</v>
      </c>
      <c r="J71" s="33">
        <f t="shared" si="5"/>
        <v>15500</v>
      </c>
      <c r="K71" s="33">
        <f t="shared" ref="K71:K72" si="6">(I71*E71)/10000000</f>
        <v>7505.0096592999998</v>
      </c>
      <c r="L71" s="33">
        <f t="shared" ref="L71:L72" si="7">(I71*J71)/10000000</f>
        <v>18765.55085</v>
      </c>
      <c r="M71" s="33">
        <f t="shared" ref="M71:M72" si="8">L71-K71</f>
        <v>11260.5411907</v>
      </c>
      <c r="N71" s="34">
        <f t="shared" ref="N71:N72" si="9">M71*13%</f>
        <v>1463.870354791</v>
      </c>
    </row>
    <row r="72" spans="1:15" x14ac:dyDescent="0.35">
      <c r="A72" s="28">
        <v>67</v>
      </c>
      <c r="B72" s="29" t="s">
        <v>208</v>
      </c>
      <c r="C72" s="28" t="s">
        <v>209</v>
      </c>
      <c r="D72" s="36" t="s">
        <v>210</v>
      </c>
      <c r="E72" s="32">
        <v>6263</v>
      </c>
      <c r="F72" s="32">
        <v>12785721</v>
      </c>
      <c r="G72" s="32"/>
      <c r="H72" s="32"/>
      <c r="I72" s="32">
        <f t="shared" si="0"/>
        <v>12785721</v>
      </c>
      <c r="J72" s="33">
        <f t="shared" ref="J72" si="10">J71</f>
        <v>15500</v>
      </c>
      <c r="K72" s="33">
        <f t="shared" si="6"/>
        <v>8007.6970622999997</v>
      </c>
      <c r="L72" s="33">
        <f t="shared" si="7"/>
        <v>19817.867549999999</v>
      </c>
      <c r="M72" s="33">
        <f t="shared" si="8"/>
        <v>11810.170487699999</v>
      </c>
      <c r="N72" s="34">
        <f t="shared" si="9"/>
        <v>1535.3221634009999</v>
      </c>
    </row>
    <row r="73" spans="1:15" s="3" customFormat="1" ht="16" x14ac:dyDescent="0.4">
      <c r="A73" s="22" t="s">
        <v>216</v>
      </c>
      <c r="B73" s="22"/>
      <c r="C73" s="22"/>
      <c r="D73" s="22"/>
      <c r="E73" s="22"/>
      <c r="F73" s="6">
        <f>SUM(F6:F72)</f>
        <v>146961349</v>
      </c>
      <c r="G73" s="6"/>
      <c r="H73" s="6">
        <f>SUM(H6:H72)</f>
        <v>23181501</v>
      </c>
      <c r="I73" s="6">
        <f>F73-H73</f>
        <v>123779848</v>
      </c>
      <c r="J73" s="8"/>
      <c r="K73" s="24">
        <f>SUM(K6:K72)</f>
        <v>65429.545032800001</v>
      </c>
      <c r="L73" s="24">
        <f>SUM(L6:L72)</f>
        <v>191858.76439999999</v>
      </c>
      <c r="M73" s="24">
        <f>SUM(M6:M72)</f>
        <v>126429.2193672</v>
      </c>
      <c r="N73" s="25">
        <f>M73*13%</f>
        <v>16435.798517735999</v>
      </c>
      <c r="O73" s="37">
        <f>N73/M73</f>
        <v>0.13</v>
      </c>
    </row>
    <row r="74" spans="1:15" s="3" customFormat="1" ht="16" x14ac:dyDescent="0.4">
      <c r="A74" s="11"/>
      <c r="B74" s="11"/>
      <c r="C74" s="11"/>
      <c r="D74" s="11"/>
      <c r="E74" s="11"/>
      <c r="F74" s="12"/>
      <c r="G74" s="12"/>
      <c r="H74" s="12"/>
      <c r="I74" s="38" t="s">
        <v>219</v>
      </c>
      <c r="J74" s="39"/>
      <c r="K74" s="40">
        <v>0.02</v>
      </c>
      <c r="L74" s="24" t="s">
        <v>220</v>
      </c>
      <c r="M74" s="26"/>
      <c r="N74" s="27">
        <f>N73*K74</f>
        <v>328.71597035471996</v>
      </c>
      <c r="O74" s="37">
        <f>N74/M73</f>
        <v>2.5999999999999999E-3</v>
      </c>
    </row>
    <row r="75" spans="1:15" s="3" customFormat="1" ht="16" x14ac:dyDescent="0.4">
      <c r="A75" s="11"/>
      <c r="B75" s="11"/>
      <c r="C75" s="11"/>
      <c r="D75" s="11"/>
      <c r="E75" s="11"/>
      <c r="F75" s="12"/>
      <c r="G75" s="12"/>
      <c r="H75" s="12"/>
      <c r="I75" s="12"/>
      <c r="J75" s="13"/>
      <c r="K75" s="13"/>
      <c r="L75" s="13"/>
      <c r="M75" s="14"/>
      <c r="N75" s="15"/>
    </row>
    <row r="76" spans="1:15" x14ac:dyDescent="0.35">
      <c r="A76" s="16" t="e" vm="1">
        <v>#VALUE!</v>
      </c>
      <c r="B76" s="16"/>
      <c r="C76" s="16" t="e" vm="1">
        <v>#VALUE!</v>
      </c>
      <c r="D76" s="16"/>
      <c r="E76" s="16" t="e" vm="1">
        <v>#VALUE!</v>
      </c>
      <c r="F76" s="16"/>
      <c r="G76" s="16" t="e" vm="1">
        <v>#VALUE!</v>
      </c>
      <c r="H76" s="16"/>
      <c r="I76" s="16" t="e" vm="1">
        <v>#VALUE!</v>
      </c>
      <c r="J76" s="16"/>
      <c r="K76" s="16" t="e" vm="1">
        <v>#VALUE!</v>
      </c>
      <c r="L76" s="16"/>
      <c r="M76" s="18" t="e" vm="1">
        <v>#VALUE!</v>
      </c>
      <c r="N76" s="19"/>
    </row>
    <row r="77" spans="1:15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20"/>
    </row>
  </sheetData>
  <mergeCells count="16">
    <mergeCell ref="K2:L3"/>
    <mergeCell ref="M2:N3"/>
    <mergeCell ref="A76:B77"/>
    <mergeCell ref="C76:D77"/>
    <mergeCell ref="E76:F77"/>
    <mergeCell ref="G76:H77"/>
    <mergeCell ref="I76:J77"/>
    <mergeCell ref="K76:L77"/>
    <mergeCell ref="M76:N77"/>
    <mergeCell ref="A4:I4"/>
    <mergeCell ref="A73:E73"/>
    <mergeCell ref="A2:B3"/>
    <mergeCell ref="C2:D3"/>
    <mergeCell ref="E2:F3"/>
    <mergeCell ref="G2:H3"/>
    <mergeCell ref="I2:J3"/>
  </mergeCells>
  <hyperlinks>
    <hyperlink ref="B1" r:id="rId1" xr:uid="{465FBD52-75AB-43A8-A8F0-FCB60E934C2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d10f03-8407-4647-8ef0-921773623f59">
      <Terms xmlns="http://schemas.microsoft.com/office/infopath/2007/PartnerControls"/>
    </lcf76f155ced4ddcb4097134ff3c332f>
    <TaxCatchAll xmlns="86dba126-2e88-4e6e-ade5-a98735b20e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5AAC405BC44B9305A6052F22282" ma:contentTypeVersion="19" ma:contentTypeDescription="Create a new document." ma:contentTypeScope="" ma:versionID="b2d66eefd0d99dfe0138235a1f631595">
  <xsd:schema xmlns:xsd="http://www.w3.org/2001/XMLSchema" xmlns:xs="http://www.w3.org/2001/XMLSchema" xmlns:p="http://schemas.microsoft.com/office/2006/metadata/properties" xmlns:ns2="53d10f03-8407-4647-8ef0-921773623f59" xmlns:ns3="86dba126-2e88-4e6e-ade5-a98735b20ed3" targetNamespace="http://schemas.microsoft.com/office/2006/metadata/properties" ma:root="true" ma:fieldsID="e137bd9a1ba214b27c845634712cbd1b" ns2:_="" ns3:_="">
    <xsd:import namespace="53d10f03-8407-4647-8ef0-921773623f59"/>
    <xsd:import namespace="86dba126-2e88-4e6e-ade5-a98735b20e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10f03-8407-4647-8ef0-921773623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73b3dd-81e5-4dea-82dd-25324d507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a126-2e88-4e6e-ade5-a98735b20e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9734ba-b693-4df4-9435-2adfdff0faac}" ma:internalName="TaxCatchAll" ma:showField="CatchAllData" ma:web="86dba126-2e88-4e6e-ade5-a98735b20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FB46DD-35C8-49FE-B8FF-BF1EEC4EE5C3}">
  <ds:schemaRefs>
    <ds:schemaRef ds:uri="http://schemas.microsoft.com/office/2006/metadata/properties"/>
    <ds:schemaRef ds:uri="http://schemas.microsoft.com/office/infopath/2007/PartnerControls"/>
    <ds:schemaRef ds:uri="53d10f03-8407-4647-8ef0-921773623f59"/>
    <ds:schemaRef ds:uri="86dba126-2e88-4e6e-ade5-a98735b20ed3"/>
  </ds:schemaRefs>
</ds:datastoreItem>
</file>

<file path=customXml/itemProps2.xml><?xml version="1.0" encoding="utf-8"?>
<ds:datastoreItem xmlns:ds="http://schemas.openxmlformats.org/officeDocument/2006/customXml" ds:itemID="{7D76CC33-CBAC-49D9-A443-36C870922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10f03-8407-4647-8ef0-921773623f59"/>
    <ds:schemaRef ds:uri="86dba126-2e88-4e6e-ade5-a98735b20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B004A3-487D-4F00-AA62-5B2BB9C61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RBI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Shrikant Shukla</dc:creator>
  <cp:lastModifiedBy>Shrikant Shukla</cp:lastModifiedBy>
  <dcterms:created xsi:type="dcterms:W3CDTF">2026-02-01T10:25:43Z</dcterms:created>
  <dcterms:modified xsi:type="dcterms:W3CDTF">2026-02-14T13:00:41Z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0x0101007A4A05AAC405BC44B9305A6052F22282</vt:lpwstr>
  </property>
  <property fmtid="{D5CDD505-2E9C-101B-9397-08002B2CF9AE}" pid="3" name="MediaServiceImageTags">
    <vt:lpwstr/>
  </property>
</Properties>
</file>